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D:\0.kiapi\5.구매계약\2026년도\1.(입찰)자체조달\(260209)_SDV 전장부품 보안 평가 지원센터 전기공사\"/>
    </mc:Choice>
  </mc:AlternateContent>
  <xr:revisionPtr revIDLastSave="0" documentId="13_ncr:1_{36EDFF75-10C7-44E1-AE5D-B573194F382E}" xr6:coauthVersionLast="47" xr6:coauthVersionMax="47" xr10:uidLastSave="{00000000-0000-0000-0000-000000000000}"/>
  <bookViews>
    <workbookView xWindow="225" yWindow="210" windowWidth="28200" windowHeight="14925" xr2:uid="{8E98A66B-702D-40FD-893A-91160BBA3B19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공량산출근거서" sheetId="4" r:id="rId6"/>
    <sheet name="단가대비표" sheetId="5" r:id="rId7"/>
    <sheet name="공량설정_일위대가" sheetId="3" state="hidden" r:id="rId8"/>
    <sheet name=" 공사설정 " sheetId="2" state="hidden" r:id="rId9"/>
    <sheet name="Sheet1" sheetId="1" state="hidden" r:id="rId10"/>
  </sheets>
  <definedNames>
    <definedName name="_xlnm.Print_Area" localSheetId="5">공량산출근거서!$A$1:$P$318</definedName>
    <definedName name="_xlnm.Print_Area" localSheetId="2">공종별내역서!$A$1:$M$483</definedName>
    <definedName name="_xlnm.Print_Area" localSheetId="1">공종별집계표!$A$1:$M$50</definedName>
    <definedName name="_xlnm.Print_Area" localSheetId="6">단가대비표!$A$1:$X$175</definedName>
    <definedName name="_xlnm.Print_Area" localSheetId="4">일위대가!$A$1:$M$707</definedName>
    <definedName name="_xlnm.Print_Area" localSheetId="3">일위대가목록!$A$1:$M$95</definedName>
    <definedName name="_xlnm.Print_Titles" localSheetId="5">공량산출근거서!$1:$3</definedName>
    <definedName name="_xlnm.Print_Titles" localSheetId="2">공종별내역서!$1:$3</definedName>
    <definedName name="_xlnm.Print_Titles" localSheetId="1">공종별집계표!$1:$4</definedName>
    <definedName name="_xlnm.Print_Titles" localSheetId="6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9" l="1"/>
  <c r="J22" i="9" s="1"/>
  <c r="G22" i="9" l="1"/>
  <c r="H22" i="9" s="1"/>
  <c r="G29" i="9"/>
  <c r="H29" i="9" s="1"/>
  <c r="I28" i="9"/>
  <c r="J28" i="9" s="1"/>
  <c r="G28" i="9"/>
  <c r="H28" i="9" s="1"/>
  <c r="I705" i="6"/>
  <c r="J705" i="6" s="1"/>
  <c r="G705" i="6"/>
  <c r="H705" i="6" s="1"/>
  <c r="E705" i="6"/>
  <c r="F705" i="6" s="1"/>
  <c r="I704" i="6"/>
  <c r="G704" i="6"/>
  <c r="E704" i="6"/>
  <c r="F704" i="6" s="1"/>
  <c r="I703" i="6"/>
  <c r="G703" i="6"/>
  <c r="H703" i="6" s="1"/>
  <c r="E703" i="6"/>
  <c r="F703" i="6" s="1"/>
  <c r="I702" i="6"/>
  <c r="J702" i="6" s="1"/>
  <c r="G702" i="6"/>
  <c r="H702" i="6" s="1"/>
  <c r="E702" i="6"/>
  <c r="I701" i="6"/>
  <c r="G701" i="6"/>
  <c r="H701" i="6" s="1"/>
  <c r="E701" i="6"/>
  <c r="F701" i="6" s="1"/>
  <c r="I697" i="6"/>
  <c r="J697" i="6" s="1"/>
  <c r="G697" i="6"/>
  <c r="H697" i="6" s="1"/>
  <c r="E697" i="6"/>
  <c r="F697" i="6" s="1"/>
  <c r="I695" i="6"/>
  <c r="J695" i="6" s="1"/>
  <c r="G695" i="6"/>
  <c r="H695" i="6" s="1"/>
  <c r="E695" i="6"/>
  <c r="I694" i="6"/>
  <c r="J694" i="6" s="1"/>
  <c r="G694" i="6"/>
  <c r="E694" i="6"/>
  <c r="F694" i="6" s="1"/>
  <c r="I690" i="6"/>
  <c r="G690" i="6"/>
  <c r="E690" i="6"/>
  <c r="F690" i="6" s="1"/>
  <c r="I688" i="6"/>
  <c r="G688" i="6"/>
  <c r="E688" i="6"/>
  <c r="F688" i="6" s="1"/>
  <c r="E689" i="6" s="1"/>
  <c r="F689" i="6" s="1"/>
  <c r="I687" i="6"/>
  <c r="J687" i="6" s="1"/>
  <c r="G687" i="6"/>
  <c r="E687" i="6"/>
  <c r="I683" i="6"/>
  <c r="J683" i="6" s="1"/>
  <c r="G683" i="6"/>
  <c r="H683" i="6" s="1"/>
  <c r="E683" i="6"/>
  <c r="F683" i="6" s="1"/>
  <c r="I681" i="6"/>
  <c r="G681" i="6"/>
  <c r="H681" i="6" s="1"/>
  <c r="E681" i="6"/>
  <c r="F681" i="6" s="1"/>
  <c r="I680" i="6"/>
  <c r="J680" i="6" s="1"/>
  <c r="G680" i="6"/>
  <c r="H680" i="6" s="1"/>
  <c r="E680" i="6"/>
  <c r="I675" i="6"/>
  <c r="G675" i="6"/>
  <c r="E675" i="6"/>
  <c r="I674" i="6"/>
  <c r="J674" i="6" s="1"/>
  <c r="G674" i="6"/>
  <c r="H674" i="6" s="1"/>
  <c r="E674" i="6"/>
  <c r="F674" i="6" s="1"/>
  <c r="I670" i="6"/>
  <c r="J670" i="6" s="1"/>
  <c r="J671" i="6" s="1"/>
  <c r="G90" i="7" s="1"/>
  <c r="I52" i="6" s="1"/>
  <c r="J52" i="6" s="1"/>
  <c r="G670" i="6"/>
  <c r="H670" i="6" s="1"/>
  <c r="H671" i="6" s="1"/>
  <c r="F90" i="7" s="1"/>
  <c r="G52" i="6" s="1"/>
  <c r="H52" i="6" s="1"/>
  <c r="E670" i="6"/>
  <c r="F670" i="6" s="1"/>
  <c r="F671" i="6" s="1"/>
  <c r="E90" i="7" s="1"/>
  <c r="E52" i="6" s="1"/>
  <c r="I666" i="6"/>
  <c r="J666" i="6" s="1"/>
  <c r="J667" i="6" s="1"/>
  <c r="G89" i="7" s="1"/>
  <c r="I101" i="6" s="1"/>
  <c r="J101" i="6" s="1"/>
  <c r="G666" i="6"/>
  <c r="E666" i="6"/>
  <c r="I657" i="6"/>
  <c r="G657" i="6"/>
  <c r="E657" i="6"/>
  <c r="I655" i="6"/>
  <c r="G655" i="6"/>
  <c r="E655" i="6"/>
  <c r="F655" i="6" s="1"/>
  <c r="I654" i="6"/>
  <c r="G654" i="6"/>
  <c r="H654" i="6" s="1"/>
  <c r="E654" i="6"/>
  <c r="F654" i="6" s="1"/>
  <c r="E656" i="6" s="1"/>
  <c r="F656" i="6" s="1"/>
  <c r="I649" i="6"/>
  <c r="G649" i="6"/>
  <c r="E649" i="6"/>
  <c r="I648" i="6"/>
  <c r="J648" i="6" s="1"/>
  <c r="G648" i="6"/>
  <c r="K648" i="6" s="1"/>
  <c r="E648" i="6"/>
  <c r="I647" i="6"/>
  <c r="J647" i="6" s="1"/>
  <c r="G647" i="6"/>
  <c r="H647" i="6" s="1"/>
  <c r="E647" i="6"/>
  <c r="F647" i="6" s="1"/>
  <c r="I646" i="6"/>
  <c r="J646" i="6" s="1"/>
  <c r="G646" i="6"/>
  <c r="E646" i="6"/>
  <c r="F646" i="6" s="1"/>
  <c r="I645" i="6"/>
  <c r="J645" i="6" s="1"/>
  <c r="G645" i="6"/>
  <c r="E645" i="6"/>
  <c r="F645" i="6" s="1"/>
  <c r="I644" i="6"/>
  <c r="J644" i="6" s="1"/>
  <c r="G644" i="6"/>
  <c r="H644" i="6" s="1"/>
  <c r="E644" i="6"/>
  <c r="I643" i="6"/>
  <c r="J643" i="6" s="1"/>
  <c r="G643" i="6"/>
  <c r="H643" i="6" s="1"/>
  <c r="E643" i="6"/>
  <c r="F643" i="6" s="1"/>
  <c r="I642" i="6"/>
  <c r="G642" i="6"/>
  <c r="H642" i="6" s="1"/>
  <c r="E642" i="6"/>
  <c r="I637" i="6"/>
  <c r="G637" i="6"/>
  <c r="E637" i="6"/>
  <c r="I636" i="6"/>
  <c r="G636" i="6"/>
  <c r="H636" i="6" s="1"/>
  <c r="E636" i="6"/>
  <c r="I631" i="6"/>
  <c r="J631" i="6" s="1"/>
  <c r="G631" i="6"/>
  <c r="E631" i="6"/>
  <c r="I629" i="6"/>
  <c r="G629" i="6"/>
  <c r="E629" i="6"/>
  <c r="F629" i="6" s="1"/>
  <c r="I628" i="6"/>
  <c r="J628" i="6" s="1"/>
  <c r="G628" i="6"/>
  <c r="E628" i="6"/>
  <c r="F628" i="6" s="1"/>
  <c r="I623" i="6"/>
  <c r="G623" i="6"/>
  <c r="H623" i="6" s="1"/>
  <c r="E624" i="6" s="1"/>
  <c r="E623" i="6"/>
  <c r="I622" i="6"/>
  <c r="G622" i="6"/>
  <c r="E622" i="6"/>
  <c r="F622" i="6" s="1"/>
  <c r="I617" i="6"/>
  <c r="G617" i="6"/>
  <c r="E617" i="6"/>
  <c r="I615" i="6"/>
  <c r="G615" i="6"/>
  <c r="E615" i="6"/>
  <c r="F615" i="6" s="1"/>
  <c r="I614" i="6"/>
  <c r="J614" i="6" s="1"/>
  <c r="G614" i="6"/>
  <c r="K614" i="6" s="1"/>
  <c r="E614" i="6"/>
  <c r="I609" i="6"/>
  <c r="G609" i="6"/>
  <c r="E609" i="6"/>
  <c r="I607" i="6"/>
  <c r="J607" i="6" s="1"/>
  <c r="G607" i="6"/>
  <c r="H607" i="6" s="1"/>
  <c r="E607" i="6"/>
  <c r="I606" i="6"/>
  <c r="J606" i="6" s="1"/>
  <c r="G606" i="6"/>
  <c r="E606" i="6"/>
  <c r="F606" i="6" s="1"/>
  <c r="E608" i="6" s="1"/>
  <c r="K608" i="6" s="1"/>
  <c r="I601" i="6"/>
  <c r="G601" i="6"/>
  <c r="E601" i="6"/>
  <c r="I598" i="6"/>
  <c r="J598" i="6" s="1"/>
  <c r="G598" i="6"/>
  <c r="H598" i="6" s="1"/>
  <c r="E598" i="6"/>
  <c r="F598" i="6" s="1"/>
  <c r="I597" i="6"/>
  <c r="G597" i="6"/>
  <c r="H597" i="6" s="1"/>
  <c r="E597" i="6"/>
  <c r="I592" i="6"/>
  <c r="G592" i="6"/>
  <c r="E592" i="6"/>
  <c r="I589" i="6"/>
  <c r="J589" i="6" s="1"/>
  <c r="G589" i="6"/>
  <c r="H589" i="6" s="1"/>
  <c r="E589" i="6"/>
  <c r="I588" i="6"/>
  <c r="J588" i="6" s="1"/>
  <c r="G588" i="6"/>
  <c r="H588" i="6" s="1"/>
  <c r="E588" i="6"/>
  <c r="F588" i="6" s="1"/>
  <c r="E590" i="6" s="1"/>
  <c r="K590" i="6" s="1"/>
  <c r="I583" i="6"/>
  <c r="G583" i="6"/>
  <c r="E583" i="6"/>
  <c r="K583" i="6" s="1"/>
  <c r="I581" i="6"/>
  <c r="J581" i="6" s="1"/>
  <c r="G581" i="6"/>
  <c r="E581" i="6"/>
  <c r="F581" i="6" s="1"/>
  <c r="I580" i="6"/>
  <c r="G580" i="6"/>
  <c r="H580" i="6" s="1"/>
  <c r="E580" i="6"/>
  <c r="I575" i="6"/>
  <c r="G575" i="6"/>
  <c r="E575" i="6"/>
  <c r="I573" i="6"/>
  <c r="G573" i="6"/>
  <c r="H573" i="6" s="1"/>
  <c r="E573" i="6"/>
  <c r="F573" i="6" s="1"/>
  <c r="I572" i="6"/>
  <c r="J572" i="6" s="1"/>
  <c r="G572" i="6"/>
  <c r="H572" i="6" s="1"/>
  <c r="E572" i="6"/>
  <c r="F572" i="6" s="1"/>
  <c r="E574" i="6" s="1"/>
  <c r="K574" i="6" s="1"/>
  <c r="I567" i="6"/>
  <c r="G567" i="6"/>
  <c r="K567" i="6" s="1"/>
  <c r="E567" i="6"/>
  <c r="I566" i="6"/>
  <c r="G566" i="6"/>
  <c r="E566" i="6"/>
  <c r="I563" i="6"/>
  <c r="J563" i="6" s="1"/>
  <c r="G563" i="6"/>
  <c r="H563" i="6" s="1"/>
  <c r="E563" i="6"/>
  <c r="I562" i="6"/>
  <c r="G562" i="6"/>
  <c r="E562" i="6"/>
  <c r="F562" i="6" s="1"/>
  <c r="I557" i="6"/>
  <c r="G557" i="6"/>
  <c r="E557" i="6"/>
  <c r="K557" i="6" s="1"/>
  <c r="I556" i="6"/>
  <c r="J556" i="6" s="1"/>
  <c r="G556" i="6"/>
  <c r="H556" i="6" s="1"/>
  <c r="E556" i="6"/>
  <c r="K556" i="6" s="1"/>
  <c r="I551" i="6"/>
  <c r="G551" i="6"/>
  <c r="E551" i="6"/>
  <c r="I550" i="6"/>
  <c r="J550" i="6" s="1"/>
  <c r="G550" i="6"/>
  <c r="H550" i="6" s="1"/>
  <c r="E550" i="6"/>
  <c r="I545" i="6"/>
  <c r="G545" i="6"/>
  <c r="E545" i="6"/>
  <c r="I544" i="6"/>
  <c r="G544" i="6"/>
  <c r="E544" i="6"/>
  <c r="I541" i="6"/>
  <c r="J541" i="6" s="1"/>
  <c r="G541" i="6"/>
  <c r="H541" i="6" s="1"/>
  <c r="E541" i="6"/>
  <c r="F541" i="6" s="1"/>
  <c r="I540" i="6"/>
  <c r="G540" i="6"/>
  <c r="E540" i="6"/>
  <c r="F540" i="6" s="1"/>
  <c r="E543" i="6" s="1"/>
  <c r="K543" i="6" s="1"/>
  <c r="I535" i="6"/>
  <c r="G535" i="6"/>
  <c r="E535" i="6"/>
  <c r="I534" i="6"/>
  <c r="J534" i="6" s="1"/>
  <c r="G534" i="6"/>
  <c r="E534" i="6"/>
  <c r="F534" i="6" s="1"/>
  <c r="I529" i="6"/>
  <c r="G529" i="6"/>
  <c r="E529" i="6"/>
  <c r="I527" i="6"/>
  <c r="J527" i="6" s="1"/>
  <c r="G527" i="6"/>
  <c r="E527" i="6"/>
  <c r="I526" i="6"/>
  <c r="J526" i="6" s="1"/>
  <c r="G526" i="6"/>
  <c r="H526" i="6" s="1"/>
  <c r="E526" i="6"/>
  <c r="I521" i="6"/>
  <c r="G521" i="6"/>
  <c r="E521" i="6"/>
  <c r="K521" i="6" s="1"/>
  <c r="I519" i="6"/>
  <c r="G519" i="6"/>
  <c r="E519" i="6"/>
  <c r="I518" i="6"/>
  <c r="G518" i="6"/>
  <c r="E518" i="6"/>
  <c r="F518" i="6" s="1"/>
  <c r="I513" i="6"/>
  <c r="G513" i="6"/>
  <c r="E513" i="6"/>
  <c r="I510" i="6"/>
  <c r="G510" i="6"/>
  <c r="H510" i="6" s="1"/>
  <c r="E510" i="6"/>
  <c r="F510" i="6" s="1"/>
  <c r="I509" i="6"/>
  <c r="G509" i="6"/>
  <c r="H509" i="6" s="1"/>
  <c r="E509" i="6"/>
  <c r="I504" i="6"/>
  <c r="G504" i="6"/>
  <c r="E504" i="6"/>
  <c r="I503" i="6"/>
  <c r="J503" i="6" s="1"/>
  <c r="G503" i="6"/>
  <c r="H503" i="6" s="1"/>
  <c r="E503" i="6"/>
  <c r="I498" i="6"/>
  <c r="G498" i="6"/>
  <c r="E498" i="6"/>
  <c r="K498" i="6" s="1"/>
  <c r="I497" i="6"/>
  <c r="J497" i="6" s="1"/>
  <c r="G497" i="6"/>
  <c r="H497" i="6" s="1"/>
  <c r="E497" i="6"/>
  <c r="F497" i="6" s="1"/>
  <c r="I492" i="6"/>
  <c r="G492" i="6"/>
  <c r="E492" i="6"/>
  <c r="I491" i="6"/>
  <c r="G491" i="6"/>
  <c r="H491" i="6" s="1"/>
  <c r="E491" i="6"/>
  <c r="F491" i="6" s="1"/>
  <c r="I486" i="6"/>
  <c r="G486" i="6"/>
  <c r="E486" i="6"/>
  <c r="I485" i="6"/>
  <c r="G485" i="6"/>
  <c r="H485" i="6" s="1"/>
  <c r="E485" i="6"/>
  <c r="F485" i="6" s="1"/>
  <c r="I480" i="6"/>
  <c r="G480" i="6"/>
  <c r="E480" i="6"/>
  <c r="K480" i="6" s="1"/>
  <c r="I479" i="6"/>
  <c r="J479" i="6" s="1"/>
  <c r="G479" i="6"/>
  <c r="H479" i="6" s="1"/>
  <c r="E479" i="6"/>
  <c r="I474" i="6"/>
  <c r="G474" i="6"/>
  <c r="E474" i="6"/>
  <c r="I473" i="6"/>
  <c r="J473" i="6" s="1"/>
  <c r="G473" i="6"/>
  <c r="E473" i="6"/>
  <c r="F473" i="6" s="1"/>
  <c r="I468" i="6"/>
  <c r="G468" i="6"/>
  <c r="E468" i="6"/>
  <c r="I467" i="6"/>
  <c r="J467" i="6" s="1"/>
  <c r="G467" i="6"/>
  <c r="H467" i="6" s="1"/>
  <c r="E467" i="6"/>
  <c r="I462" i="6"/>
  <c r="G462" i="6"/>
  <c r="E462" i="6"/>
  <c r="I461" i="6"/>
  <c r="G461" i="6"/>
  <c r="H461" i="6" s="1"/>
  <c r="E461" i="6"/>
  <c r="I456" i="6"/>
  <c r="G456" i="6"/>
  <c r="E456" i="6"/>
  <c r="I455" i="6"/>
  <c r="J455" i="6" s="1"/>
  <c r="G455" i="6"/>
  <c r="E455" i="6"/>
  <c r="I450" i="6"/>
  <c r="G450" i="6"/>
  <c r="E450" i="6"/>
  <c r="I449" i="6"/>
  <c r="J449" i="6" s="1"/>
  <c r="G449" i="6"/>
  <c r="H449" i="6" s="1"/>
  <c r="E449" i="6"/>
  <c r="F449" i="6" s="1"/>
  <c r="I444" i="6"/>
  <c r="G444" i="6"/>
  <c r="E444" i="6"/>
  <c r="I442" i="6"/>
  <c r="G442" i="6"/>
  <c r="H442" i="6" s="1"/>
  <c r="E442" i="6"/>
  <c r="F442" i="6" s="1"/>
  <c r="I441" i="6"/>
  <c r="J441" i="6" s="1"/>
  <c r="G441" i="6"/>
  <c r="E441" i="6"/>
  <c r="I436" i="6"/>
  <c r="G436" i="6"/>
  <c r="E436" i="6"/>
  <c r="I434" i="6"/>
  <c r="J434" i="6" s="1"/>
  <c r="G434" i="6"/>
  <c r="H434" i="6" s="1"/>
  <c r="E434" i="6"/>
  <c r="F434" i="6" s="1"/>
  <c r="I433" i="6"/>
  <c r="J433" i="6" s="1"/>
  <c r="G433" i="6"/>
  <c r="K433" i="6" s="1"/>
  <c r="E433" i="6"/>
  <c r="I428" i="6"/>
  <c r="G428" i="6"/>
  <c r="E428" i="6"/>
  <c r="I426" i="6"/>
  <c r="J426" i="6" s="1"/>
  <c r="G426" i="6"/>
  <c r="E426" i="6"/>
  <c r="I425" i="6"/>
  <c r="J425" i="6" s="1"/>
  <c r="G425" i="6"/>
  <c r="E425" i="6"/>
  <c r="I420" i="6"/>
  <c r="G420" i="6"/>
  <c r="E420" i="6"/>
  <c r="K420" i="6" s="1"/>
  <c r="I419" i="6"/>
  <c r="J419" i="6" s="1"/>
  <c r="G419" i="6"/>
  <c r="H419" i="6" s="1"/>
  <c r="E419" i="6"/>
  <c r="F419" i="6" s="1"/>
  <c r="I414" i="6"/>
  <c r="G414" i="6"/>
  <c r="K414" i="6" s="1"/>
  <c r="E414" i="6"/>
  <c r="I411" i="6"/>
  <c r="J411" i="6" s="1"/>
  <c r="G411" i="6"/>
  <c r="H411" i="6" s="1"/>
  <c r="E411" i="6"/>
  <c r="I410" i="6"/>
  <c r="J410" i="6" s="1"/>
  <c r="G410" i="6"/>
  <c r="H410" i="6" s="1"/>
  <c r="E410" i="6"/>
  <c r="I405" i="6"/>
  <c r="G405" i="6"/>
  <c r="E405" i="6"/>
  <c r="I402" i="6"/>
  <c r="J402" i="6" s="1"/>
  <c r="G402" i="6"/>
  <c r="H402" i="6" s="1"/>
  <c r="E402" i="6"/>
  <c r="F402" i="6" s="1"/>
  <c r="I401" i="6"/>
  <c r="J401" i="6" s="1"/>
  <c r="G401" i="6"/>
  <c r="E401" i="6"/>
  <c r="F401" i="6" s="1"/>
  <c r="I396" i="6"/>
  <c r="G396" i="6"/>
  <c r="E396" i="6"/>
  <c r="I395" i="6"/>
  <c r="G395" i="6"/>
  <c r="E395" i="6"/>
  <c r="I390" i="6"/>
  <c r="G390" i="6"/>
  <c r="E390" i="6"/>
  <c r="I389" i="6"/>
  <c r="J389" i="6" s="1"/>
  <c r="G389" i="6"/>
  <c r="E389" i="6"/>
  <c r="K389" i="6" s="1"/>
  <c r="I384" i="6"/>
  <c r="G384" i="6"/>
  <c r="E384" i="6"/>
  <c r="I383" i="6"/>
  <c r="J383" i="6" s="1"/>
  <c r="G383" i="6"/>
  <c r="E383" i="6"/>
  <c r="F383" i="6" s="1"/>
  <c r="I378" i="6"/>
  <c r="G378" i="6"/>
  <c r="E378" i="6"/>
  <c r="I377" i="6"/>
  <c r="J377" i="6" s="1"/>
  <c r="G377" i="6"/>
  <c r="E377" i="6"/>
  <c r="I372" i="6"/>
  <c r="G372" i="6"/>
  <c r="E372" i="6"/>
  <c r="K372" i="6" s="1"/>
  <c r="I371" i="6"/>
  <c r="J371" i="6" s="1"/>
  <c r="G371" i="6"/>
  <c r="H371" i="6" s="1"/>
  <c r="E371" i="6"/>
  <c r="F371" i="6" s="1"/>
  <c r="I366" i="6"/>
  <c r="G366" i="6"/>
  <c r="E366" i="6"/>
  <c r="I364" i="6"/>
  <c r="J364" i="6" s="1"/>
  <c r="G364" i="6"/>
  <c r="H364" i="6" s="1"/>
  <c r="E364" i="6"/>
  <c r="F364" i="6" s="1"/>
  <c r="I363" i="6"/>
  <c r="J363" i="6" s="1"/>
  <c r="G363" i="6"/>
  <c r="H363" i="6" s="1"/>
  <c r="E363" i="6"/>
  <c r="I358" i="6"/>
  <c r="G358" i="6"/>
  <c r="E358" i="6"/>
  <c r="I356" i="6"/>
  <c r="J356" i="6" s="1"/>
  <c r="G356" i="6"/>
  <c r="H356" i="6" s="1"/>
  <c r="E356" i="6"/>
  <c r="F356" i="6" s="1"/>
  <c r="I355" i="6"/>
  <c r="J355" i="6" s="1"/>
  <c r="G355" i="6"/>
  <c r="E355" i="6"/>
  <c r="F355" i="6" s="1"/>
  <c r="I350" i="6"/>
  <c r="G350" i="6"/>
  <c r="E350" i="6"/>
  <c r="I349" i="6"/>
  <c r="G349" i="6"/>
  <c r="H349" i="6" s="1"/>
  <c r="E349" i="6"/>
  <c r="I344" i="6"/>
  <c r="G344" i="6"/>
  <c r="E344" i="6"/>
  <c r="I343" i="6"/>
  <c r="J343" i="6" s="1"/>
  <c r="G343" i="6"/>
  <c r="H343" i="6" s="1"/>
  <c r="E343" i="6"/>
  <c r="K343" i="6" s="1"/>
  <c r="I338" i="6"/>
  <c r="G338" i="6"/>
  <c r="K338" i="6" s="1"/>
  <c r="E338" i="6"/>
  <c r="I335" i="6"/>
  <c r="J335" i="6" s="1"/>
  <c r="G335" i="6"/>
  <c r="H335" i="6" s="1"/>
  <c r="E335" i="6"/>
  <c r="F335" i="6" s="1"/>
  <c r="I334" i="6"/>
  <c r="J334" i="6" s="1"/>
  <c r="G334" i="6"/>
  <c r="E334" i="6"/>
  <c r="I329" i="6"/>
  <c r="G329" i="6"/>
  <c r="E329" i="6"/>
  <c r="I328" i="6"/>
  <c r="J328" i="6" s="1"/>
  <c r="G328" i="6"/>
  <c r="E328" i="6"/>
  <c r="F328" i="6" s="1"/>
  <c r="I323" i="6"/>
  <c r="G323" i="6"/>
  <c r="E323" i="6"/>
  <c r="I322" i="6"/>
  <c r="G322" i="6"/>
  <c r="H322" i="6" s="1"/>
  <c r="E322" i="6"/>
  <c r="I317" i="6"/>
  <c r="G317" i="6"/>
  <c r="E317" i="6"/>
  <c r="I315" i="6"/>
  <c r="J315" i="6" s="1"/>
  <c r="G315" i="6"/>
  <c r="H315" i="6" s="1"/>
  <c r="E315" i="6"/>
  <c r="I314" i="6"/>
  <c r="J314" i="6" s="1"/>
  <c r="G314" i="6"/>
  <c r="H314" i="6" s="1"/>
  <c r="E314" i="6"/>
  <c r="F314" i="6" s="1"/>
  <c r="E316" i="6" s="1"/>
  <c r="K316" i="6" s="1"/>
  <c r="I309" i="6"/>
  <c r="G309" i="6"/>
  <c r="E309" i="6"/>
  <c r="I307" i="6"/>
  <c r="J307" i="6" s="1"/>
  <c r="G307" i="6"/>
  <c r="E307" i="6"/>
  <c r="F307" i="6" s="1"/>
  <c r="I306" i="6"/>
  <c r="G306" i="6"/>
  <c r="H306" i="6" s="1"/>
  <c r="E306" i="6"/>
  <c r="F306" i="6" s="1"/>
  <c r="I301" i="6"/>
  <c r="G301" i="6"/>
  <c r="E301" i="6"/>
  <c r="I300" i="6"/>
  <c r="G300" i="6"/>
  <c r="H300" i="6" s="1"/>
  <c r="E300" i="6"/>
  <c r="F300" i="6" s="1"/>
  <c r="I299" i="6"/>
  <c r="J299" i="6" s="1"/>
  <c r="G299" i="6"/>
  <c r="H299" i="6" s="1"/>
  <c r="E299" i="6"/>
  <c r="F299" i="6" s="1"/>
  <c r="I298" i="6"/>
  <c r="J298" i="6" s="1"/>
  <c r="G298" i="6"/>
  <c r="H298" i="6" s="1"/>
  <c r="E298" i="6"/>
  <c r="I297" i="6"/>
  <c r="J297" i="6" s="1"/>
  <c r="G297" i="6"/>
  <c r="E297" i="6"/>
  <c r="F297" i="6" s="1"/>
  <c r="I296" i="6"/>
  <c r="J296" i="6" s="1"/>
  <c r="G296" i="6"/>
  <c r="E296" i="6"/>
  <c r="F296" i="6" s="1"/>
  <c r="I291" i="6"/>
  <c r="G291" i="6"/>
  <c r="E291" i="6"/>
  <c r="I290" i="6"/>
  <c r="G290" i="6"/>
  <c r="E290" i="6"/>
  <c r="I289" i="6"/>
  <c r="G289" i="6"/>
  <c r="H289" i="6" s="1"/>
  <c r="E289" i="6"/>
  <c r="F289" i="6" s="1"/>
  <c r="I288" i="6"/>
  <c r="G288" i="6"/>
  <c r="H288" i="6" s="1"/>
  <c r="E288" i="6"/>
  <c r="I287" i="6"/>
  <c r="J287" i="6" s="1"/>
  <c r="G287" i="6"/>
  <c r="H287" i="6" s="1"/>
  <c r="E287" i="6"/>
  <c r="F287" i="6" s="1"/>
  <c r="I286" i="6"/>
  <c r="G286" i="6"/>
  <c r="H286" i="6" s="1"/>
  <c r="E286" i="6"/>
  <c r="I281" i="6"/>
  <c r="G281" i="6"/>
  <c r="E281" i="6"/>
  <c r="I278" i="6"/>
  <c r="J278" i="6" s="1"/>
  <c r="G278" i="6"/>
  <c r="E278" i="6"/>
  <c r="F278" i="6" s="1"/>
  <c r="I277" i="6"/>
  <c r="J277" i="6" s="1"/>
  <c r="G277" i="6"/>
  <c r="E277" i="6"/>
  <c r="F277" i="6" s="1"/>
  <c r="E279" i="6" s="1"/>
  <c r="F279" i="6" s="1"/>
  <c r="I272" i="6"/>
  <c r="G272" i="6"/>
  <c r="E272" i="6"/>
  <c r="I269" i="6"/>
  <c r="G269" i="6"/>
  <c r="H269" i="6" s="1"/>
  <c r="E269" i="6"/>
  <c r="F269" i="6" s="1"/>
  <c r="I268" i="6"/>
  <c r="G268" i="6"/>
  <c r="H268" i="6" s="1"/>
  <c r="E268" i="6"/>
  <c r="F268" i="6" s="1"/>
  <c r="E271" i="6" s="1"/>
  <c r="F271" i="6" s="1"/>
  <c r="L271" i="6" s="1"/>
  <c r="I263" i="6"/>
  <c r="G263" i="6"/>
  <c r="E263" i="6"/>
  <c r="K263" i="6" s="1"/>
  <c r="I262" i="6"/>
  <c r="J262" i="6" s="1"/>
  <c r="G262" i="6"/>
  <c r="H262" i="6" s="1"/>
  <c r="E262" i="6"/>
  <c r="I257" i="6"/>
  <c r="G257" i="6"/>
  <c r="E257" i="6"/>
  <c r="I256" i="6"/>
  <c r="J256" i="6" s="1"/>
  <c r="G256" i="6"/>
  <c r="E256" i="6"/>
  <c r="I251" i="6"/>
  <c r="G251" i="6"/>
  <c r="E251" i="6"/>
  <c r="I250" i="6"/>
  <c r="J250" i="6" s="1"/>
  <c r="G250" i="6"/>
  <c r="H250" i="6" s="1"/>
  <c r="E250" i="6"/>
  <c r="F250" i="6" s="1"/>
  <c r="I245" i="6"/>
  <c r="G245" i="6"/>
  <c r="E245" i="6"/>
  <c r="I244" i="6"/>
  <c r="G244" i="6"/>
  <c r="K244" i="6" s="1"/>
  <c r="E244" i="6"/>
  <c r="I239" i="6"/>
  <c r="G239" i="6"/>
  <c r="E239" i="6"/>
  <c r="I238" i="6"/>
  <c r="G238" i="6"/>
  <c r="K238" i="6" s="1"/>
  <c r="E238" i="6"/>
  <c r="I233" i="6"/>
  <c r="G233" i="6"/>
  <c r="E233" i="6"/>
  <c r="I232" i="6"/>
  <c r="G232" i="6"/>
  <c r="E232" i="6"/>
  <c r="K232" i="6" s="1"/>
  <c r="I227" i="6"/>
  <c r="G227" i="6"/>
  <c r="E227" i="6"/>
  <c r="I225" i="6"/>
  <c r="G225" i="6"/>
  <c r="H225" i="6" s="1"/>
  <c r="E225" i="6"/>
  <c r="F225" i="6" s="1"/>
  <c r="I224" i="6"/>
  <c r="G224" i="6"/>
  <c r="H224" i="6" s="1"/>
  <c r="E224" i="6"/>
  <c r="F224" i="6" s="1"/>
  <c r="E226" i="6" s="1"/>
  <c r="K226" i="6" s="1"/>
  <c r="I219" i="6"/>
  <c r="G219" i="6"/>
  <c r="E219" i="6"/>
  <c r="I217" i="6"/>
  <c r="G217" i="6"/>
  <c r="E217" i="6"/>
  <c r="K217" i="6" s="1"/>
  <c r="I216" i="6"/>
  <c r="J216" i="6" s="1"/>
  <c r="G216" i="6"/>
  <c r="K216" i="6" s="1"/>
  <c r="E216" i="6"/>
  <c r="I211" i="6"/>
  <c r="G211" i="6"/>
  <c r="E211" i="6"/>
  <c r="I209" i="6"/>
  <c r="G209" i="6"/>
  <c r="E209" i="6"/>
  <c r="I208" i="6"/>
  <c r="J208" i="6" s="1"/>
  <c r="G208" i="6"/>
  <c r="E208" i="6"/>
  <c r="F208" i="6" s="1"/>
  <c r="E210" i="6" s="1"/>
  <c r="F210" i="6" s="1"/>
  <c r="I203" i="6"/>
  <c r="G203" i="6"/>
  <c r="E203" i="6"/>
  <c r="K203" i="6" s="1"/>
  <c r="I201" i="6"/>
  <c r="J201" i="6" s="1"/>
  <c r="G201" i="6"/>
  <c r="H201" i="6" s="1"/>
  <c r="E201" i="6"/>
  <c r="F201" i="6" s="1"/>
  <c r="I200" i="6"/>
  <c r="G200" i="6"/>
  <c r="K200" i="6" s="1"/>
  <c r="E200" i="6"/>
  <c r="I196" i="6"/>
  <c r="G196" i="6"/>
  <c r="E196" i="6"/>
  <c r="I193" i="6"/>
  <c r="G193" i="6"/>
  <c r="H193" i="6" s="1"/>
  <c r="E193" i="6"/>
  <c r="I192" i="6"/>
  <c r="J192" i="6" s="1"/>
  <c r="G192" i="6"/>
  <c r="H192" i="6" s="1"/>
  <c r="E192" i="6"/>
  <c r="F192" i="6" s="1"/>
  <c r="E194" i="6" s="1"/>
  <c r="K194" i="6" s="1"/>
  <c r="I187" i="6"/>
  <c r="G187" i="6"/>
  <c r="E187" i="6"/>
  <c r="K187" i="6" s="1"/>
  <c r="I186" i="6"/>
  <c r="J186" i="6" s="1"/>
  <c r="G186" i="6"/>
  <c r="E186" i="6"/>
  <c r="F186" i="6" s="1"/>
  <c r="I181" i="6"/>
  <c r="G181" i="6"/>
  <c r="E181" i="6"/>
  <c r="I180" i="6"/>
  <c r="G180" i="6"/>
  <c r="E180" i="6"/>
  <c r="K180" i="6" s="1"/>
  <c r="I175" i="6"/>
  <c r="G175" i="6"/>
  <c r="E175" i="6"/>
  <c r="I174" i="6"/>
  <c r="J174" i="6" s="1"/>
  <c r="G174" i="6"/>
  <c r="H174" i="6" s="1"/>
  <c r="E174" i="6"/>
  <c r="F174" i="6" s="1"/>
  <c r="I169" i="6"/>
  <c r="G169" i="6"/>
  <c r="E169" i="6"/>
  <c r="I167" i="6"/>
  <c r="J167" i="6" s="1"/>
  <c r="G167" i="6"/>
  <c r="E167" i="6"/>
  <c r="F167" i="6" s="1"/>
  <c r="I166" i="6"/>
  <c r="G166" i="6"/>
  <c r="E166" i="6"/>
  <c r="I161" i="6"/>
  <c r="G161" i="6"/>
  <c r="E161" i="6"/>
  <c r="I160" i="6"/>
  <c r="G160" i="6"/>
  <c r="E160" i="6"/>
  <c r="I159" i="6"/>
  <c r="G159" i="6"/>
  <c r="E159" i="6"/>
  <c r="F159" i="6" s="1"/>
  <c r="I158" i="6"/>
  <c r="G158" i="6"/>
  <c r="H158" i="6" s="1"/>
  <c r="E158" i="6"/>
  <c r="I157" i="6"/>
  <c r="J157" i="6" s="1"/>
  <c r="G157" i="6"/>
  <c r="H157" i="6" s="1"/>
  <c r="E157" i="6"/>
  <c r="F157" i="6" s="1"/>
  <c r="I156" i="6"/>
  <c r="G156" i="6"/>
  <c r="H156" i="6" s="1"/>
  <c r="E156" i="6"/>
  <c r="I151" i="6"/>
  <c r="G151" i="6"/>
  <c r="E151" i="6"/>
  <c r="I150" i="6"/>
  <c r="J150" i="6" s="1"/>
  <c r="G150" i="6"/>
  <c r="H150" i="6" s="1"/>
  <c r="E150" i="6"/>
  <c r="F150" i="6" s="1"/>
  <c r="I145" i="6"/>
  <c r="G145" i="6"/>
  <c r="E145" i="6"/>
  <c r="I144" i="6"/>
  <c r="G144" i="6"/>
  <c r="E144" i="6"/>
  <c r="I141" i="6"/>
  <c r="J141" i="6" s="1"/>
  <c r="G141" i="6"/>
  <c r="E141" i="6"/>
  <c r="F141" i="6" s="1"/>
  <c r="I140" i="6"/>
  <c r="G140" i="6"/>
  <c r="H140" i="6" s="1"/>
  <c r="E140" i="6"/>
  <c r="F140" i="6" s="1"/>
  <c r="E143" i="6" s="1"/>
  <c r="F143" i="6" s="1"/>
  <c r="L143" i="6" s="1"/>
  <c r="I135" i="6"/>
  <c r="G135" i="6"/>
  <c r="E135" i="6"/>
  <c r="K135" i="6" s="1"/>
  <c r="I132" i="6"/>
  <c r="J132" i="6" s="1"/>
  <c r="G132" i="6"/>
  <c r="H132" i="6" s="1"/>
  <c r="E132" i="6"/>
  <c r="I131" i="6"/>
  <c r="J131" i="6" s="1"/>
  <c r="G131" i="6"/>
  <c r="H131" i="6" s="1"/>
  <c r="E131" i="6"/>
  <c r="I126" i="6"/>
  <c r="G126" i="6"/>
  <c r="E126" i="6"/>
  <c r="I123" i="6"/>
  <c r="G123" i="6"/>
  <c r="E123" i="6"/>
  <c r="F123" i="6" s="1"/>
  <c r="I122" i="6"/>
  <c r="J122" i="6" s="1"/>
  <c r="G122" i="6"/>
  <c r="H122" i="6" s="1"/>
  <c r="E122" i="6"/>
  <c r="F122" i="6" s="1"/>
  <c r="E125" i="6" s="1"/>
  <c r="K125" i="6" s="1"/>
  <c r="I118" i="6"/>
  <c r="J118" i="6" s="1"/>
  <c r="G118" i="6"/>
  <c r="H118" i="6" s="1"/>
  <c r="E118" i="6"/>
  <c r="F118" i="6" s="1"/>
  <c r="I117" i="6"/>
  <c r="G117" i="6"/>
  <c r="H117" i="6" s="1"/>
  <c r="E117" i="6"/>
  <c r="I116" i="6"/>
  <c r="J116" i="6" s="1"/>
  <c r="G116" i="6"/>
  <c r="H116" i="6" s="1"/>
  <c r="E116" i="6"/>
  <c r="I115" i="6"/>
  <c r="G115" i="6"/>
  <c r="H115" i="6" s="1"/>
  <c r="E115" i="6"/>
  <c r="I114" i="6"/>
  <c r="G114" i="6"/>
  <c r="E114" i="6"/>
  <c r="I113" i="6"/>
  <c r="G113" i="6"/>
  <c r="E113" i="6"/>
  <c r="K113" i="6" s="1"/>
  <c r="I112" i="6"/>
  <c r="G112" i="6"/>
  <c r="E112" i="6"/>
  <c r="I111" i="6"/>
  <c r="G111" i="6"/>
  <c r="H111" i="6" s="1"/>
  <c r="E111" i="6"/>
  <c r="I110" i="6"/>
  <c r="J110" i="6" s="1"/>
  <c r="G110" i="6"/>
  <c r="H110" i="6" s="1"/>
  <c r="E110" i="6"/>
  <c r="K110" i="6" s="1"/>
  <c r="I109" i="6"/>
  <c r="G109" i="6"/>
  <c r="H109" i="6" s="1"/>
  <c r="E109" i="6"/>
  <c r="F109" i="6" s="1"/>
  <c r="I108" i="6"/>
  <c r="J108" i="6" s="1"/>
  <c r="G108" i="6"/>
  <c r="H108" i="6" s="1"/>
  <c r="E108" i="6"/>
  <c r="F108" i="6" s="1"/>
  <c r="I107" i="6"/>
  <c r="J107" i="6" s="1"/>
  <c r="G107" i="6"/>
  <c r="H107" i="6" s="1"/>
  <c r="E107" i="6"/>
  <c r="I106" i="6"/>
  <c r="J106" i="6" s="1"/>
  <c r="G106" i="6"/>
  <c r="E106" i="6"/>
  <c r="F106" i="6" s="1"/>
  <c r="I105" i="6"/>
  <c r="J105" i="6" s="1"/>
  <c r="G105" i="6"/>
  <c r="E105" i="6"/>
  <c r="I104" i="6"/>
  <c r="G104" i="6"/>
  <c r="E104" i="6"/>
  <c r="I95" i="6"/>
  <c r="J95" i="6" s="1"/>
  <c r="G95" i="6"/>
  <c r="H95" i="6" s="1"/>
  <c r="E96" i="6" s="1"/>
  <c r="F96" i="6" s="1"/>
  <c r="E95" i="6"/>
  <c r="F95" i="6" s="1"/>
  <c r="I94" i="6"/>
  <c r="J94" i="6" s="1"/>
  <c r="G94" i="6"/>
  <c r="H94" i="6" s="1"/>
  <c r="E94" i="6"/>
  <c r="F94" i="6" s="1"/>
  <c r="I89" i="6"/>
  <c r="G89" i="6"/>
  <c r="E89" i="6"/>
  <c r="I88" i="6"/>
  <c r="G88" i="6"/>
  <c r="E88" i="6"/>
  <c r="I87" i="6"/>
  <c r="G87" i="6"/>
  <c r="K87" i="6" s="1"/>
  <c r="E87" i="6"/>
  <c r="I82" i="6"/>
  <c r="G82" i="6"/>
  <c r="E82" i="6"/>
  <c r="I81" i="6"/>
  <c r="J81" i="6" s="1"/>
  <c r="G81" i="6"/>
  <c r="H81" i="6" s="1"/>
  <c r="E81" i="6"/>
  <c r="F81" i="6" s="1"/>
  <c r="I76" i="6"/>
  <c r="G76" i="6"/>
  <c r="E76" i="6"/>
  <c r="I75" i="6"/>
  <c r="G75" i="6"/>
  <c r="E75" i="6"/>
  <c r="I73" i="6"/>
  <c r="J73" i="6" s="1"/>
  <c r="G73" i="6"/>
  <c r="H73" i="6" s="1"/>
  <c r="E73" i="6"/>
  <c r="K73" i="6" s="1"/>
  <c r="I72" i="6"/>
  <c r="G72" i="6"/>
  <c r="E72" i="6"/>
  <c r="F72" i="6" s="1"/>
  <c r="E74" i="6" s="1"/>
  <c r="K74" i="6" s="1"/>
  <c r="I68" i="6"/>
  <c r="J68" i="6" s="1"/>
  <c r="G68" i="6"/>
  <c r="H68" i="6" s="1"/>
  <c r="E68" i="6"/>
  <c r="F68" i="6" s="1"/>
  <c r="I67" i="6"/>
  <c r="J67" i="6" s="1"/>
  <c r="G67" i="6"/>
  <c r="H67" i="6" s="1"/>
  <c r="E67" i="6"/>
  <c r="I66" i="6"/>
  <c r="J66" i="6" s="1"/>
  <c r="G66" i="6"/>
  <c r="E66" i="6"/>
  <c r="F66" i="6" s="1"/>
  <c r="I65" i="6"/>
  <c r="J65" i="6" s="1"/>
  <c r="G65" i="6"/>
  <c r="E65" i="6"/>
  <c r="I64" i="6"/>
  <c r="G64" i="6"/>
  <c r="E64" i="6"/>
  <c r="F64" i="6" s="1"/>
  <c r="I63" i="6"/>
  <c r="G63" i="6"/>
  <c r="E63" i="6"/>
  <c r="I62" i="6"/>
  <c r="G62" i="6"/>
  <c r="E62" i="6"/>
  <c r="I61" i="6"/>
  <c r="J61" i="6" s="1"/>
  <c r="G61" i="6"/>
  <c r="H61" i="6" s="1"/>
  <c r="E61" i="6"/>
  <c r="I60" i="6"/>
  <c r="J60" i="6" s="1"/>
  <c r="G60" i="6"/>
  <c r="E60" i="6"/>
  <c r="K60" i="6" s="1"/>
  <c r="I59" i="6"/>
  <c r="J59" i="6" s="1"/>
  <c r="G59" i="6"/>
  <c r="H59" i="6" s="1"/>
  <c r="E59" i="6"/>
  <c r="I58" i="6"/>
  <c r="J58" i="6" s="1"/>
  <c r="G58" i="6"/>
  <c r="H58" i="6" s="1"/>
  <c r="E58" i="6"/>
  <c r="F58" i="6" s="1"/>
  <c r="I57" i="6"/>
  <c r="J57" i="6" s="1"/>
  <c r="G57" i="6"/>
  <c r="H57" i="6" s="1"/>
  <c r="E57" i="6"/>
  <c r="F57" i="6" s="1"/>
  <c r="I56" i="6"/>
  <c r="J56" i="6" s="1"/>
  <c r="G56" i="6"/>
  <c r="E56" i="6"/>
  <c r="F56" i="6" s="1"/>
  <c r="I55" i="6"/>
  <c r="G55" i="6"/>
  <c r="E55" i="6"/>
  <c r="I54" i="6"/>
  <c r="G54" i="6"/>
  <c r="E54" i="6"/>
  <c r="K54" i="6" s="1"/>
  <c r="I45" i="6"/>
  <c r="G45" i="6"/>
  <c r="E45" i="6"/>
  <c r="I44" i="6"/>
  <c r="G44" i="6"/>
  <c r="E44" i="6"/>
  <c r="F44" i="6" s="1"/>
  <c r="I43" i="6"/>
  <c r="J43" i="6" s="1"/>
  <c r="G43" i="6"/>
  <c r="H43" i="6" s="1"/>
  <c r="E43" i="6"/>
  <c r="I42" i="6"/>
  <c r="G42" i="6"/>
  <c r="E42" i="6"/>
  <c r="F42" i="6" s="1"/>
  <c r="I41" i="6"/>
  <c r="G41" i="6"/>
  <c r="E41" i="6"/>
  <c r="I40" i="6"/>
  <c r="J40" i="6" s="1"/>
  <c r="G40" i="6"/>
  <c r="E40" i="6"/>
  <c r="F40" i="6" s="1"/>
  <c r="I35" i="6"/>
  <c r="G35" i="6"/>
  <c r="E35" i="6"/>
  <c r="I34" i="6"/>
  <c r="G34" i="6"/>
  <c r="E34" i="6"/>
  <c r="I31" i="6"/>
  <c r="G31" i="6"/>
  <c r="K31" i="6" s="1"/>
  <c r="E31" i="6"/>
  <c r="I30" i="6"/>
  <c r="J30" i="6" s="1"/>
  <c r="G30" i="6"/>
  <c r="H30" i="6" s="1"/>
  <c r="E30" i="6"/>
  <c r="F30" i="6" s="1"/>
  <c r="E32" i="6" s="1"/>
  <c r="F32" i="6" s="1"/>
  <c r="L32" i="6" s="1"/>
  <c r="I25" i="6"/>
  <c r="G25" i="6"/>
  <c r="E25" i="6"/>
  <c r="I24" i="6"/>
  <c r="G24" i="6"/>
  <c r="E24" i="6"/>
  <c r="I23" i="6"/>
  <c r="J23" i="6" s="1"/>
  <c r="G23" i="6"/>
  <c r="H23" i="6" s="1"/>
  <c r="E23" i="6"/>
  <c r="F23" i="6" s="1"/>
  <c r="I18" i="6"/>
  <c r="G18" i="6"/>
  <c r="E18" i="6"/>
  <c r="I16" i="6"/>
  <c r="G16" i="6"/>
  <c r="H16" i="6" s="1"/>
  <c r="E16" i="6"/>
  <c r="I15" i="6"/>
  <c r="G15" i="6"/>
  <c r="E15" i="6"/>
  <c r="K15" i="6" s="1"/>
  <c r="I10" i="6"/>
  <c r="G10" i="6"/>
  <c r="E10" i="6"/>
  <c r="I9" i="6"/>
  <c r="G9" i="6"/>
  <c r="E9" i="6"/>
  <c r="I6" i="6"/>
  <c r="J6" i="6" s="1"/>
  <c r="G6" i="6"/>
  <c r="H6" i="6" s="1"/>
  <c r="E6" i="6"/>
  <c r="I5" i="6"/>
  <c r="J5" i="6" s="1"/>
  <c r="G5" i="6"/>
  <c r="E5" i="6"/>
  <c r="F5" i="6" s="1"/>
  <c r="M317" i="4"/>
  <c r="N317" i="4" s="1"/>
  <c r="V317" i="4" s="1"/>
  <c r="F318" i="4" s="1"/>
  <c r="K318" i="4" s="1"/>
  <c r="D675" i="6" s="1"/>
  <c r="F675" i="6" s="1"/>
  <c r="M314" i="4"/>
  <c r="N314" i="4" s="1"/>
  <c r="Y314" i="4" s="1"/>
  <c r="M313" i="4"/>
  <c r="N313" i="4" s="1"/>
  <c r="Y313" i="4" s="1"/>
  <c r="M310" i="4"/>
  <c r="N310" i="4" s="1"/>
  <c r="Y310" i="4" s="1"/>
  <c r="F311" i="4" s="1"/>
  <c r="K311" i="4" s="1"/>
  <c r="D649" i="6" s="1"/>
  <c r="M307" i="4"/>
  <c r="N307" i="4" s="1"/>
  <c r="Y307" i="4" s="1"/>
  <c r="F308" i="4" s="1"/>
  <c r="K308" i="4" s="1"/>
  <c r="D637" i="6" s="1"/>
  <c r="F637" i="6" s="1"/>
  <c r="M304" i="4"/>
  <c r="N304" i="4" s="1"/>
  <c r="Y304" i="4" s="1"/>
  <c r="M303" i="4"/>
  <c r="N303" i="4" s="1"/>
  <c r="Y303" i="4" s="1"/>
  <c r="F305" i="4" s="1"/>
  <c r="K305" i="4" s="1"/>
  <c r="D617" i="6" s="1"/>
  <c r="M300" i="4"/>
  <c r="N300" i="4" s="1"/>
  <c r="AA300" i="4" s="1"/>
  <c r="M299" i="4"/>
  <c r="N299" i="4" s="1"/>
  <c r="AA299" i="4" s="1"/>
  <c r="F301" i="4" s="1"/>
  <c r="K301" i="4" s="1"/>
  <c r="D609" i="6" s="1"/>
  <c r="M296" i="4"/>
  <c r="N296" i="4" s="1"/>
  <c r="Y296" i="4" s="1"/>
  <c r="M295" i="4"/>
  <c r="N295" i="4" s="1"/>
  <c r="Y295" i="4" s="1"/>
  <c r="M292" i="4"/>
  <c r="N292" i="4" s="1"/>
  <c r="Y292" i="4" s="1"/>
  <c r="M291" i="4"/>
  <c r="N291" i="4" s="1"/>
  <c r="Y291" i="4" s="1"/>
  <c r="F293" i="4" s="1"/>
  <c r="K293" i="4" s="1"/>
  <c r="D592" i="6" s="1"/>
  <c r="F592" i="6" s="1"/>
  <c r="M288" i="4"/>
  <c r="N288" i="4" s="1"/>
  <c r="Y288" i="4" s="1"/>
  <c r="M287" i="4"/>
  <c r="N287" i="4" s="1"/>
  <c r="Y287" i="4" s="1"/>
  <c r="M284" i="4"/>
  <c r="N284" i="4" s="1"/>
  <c r="AA284" i="4" s="1"/>
  <c r="M283" i="4"/>
  <c r="N283" i="4" s="1"/>
  <c r="AA283" i="4" s="1"/>
  <c r="F285" i="4" s="1"/>
  <c r="K285" i="4" s="1"/>
  <c r="D575" i="6" s="1"/>
  <c r="J575" i="6" s="1"/>
  <c r="M279" i="4"/>
  <c r="N279" i="4" s="1"/>
  <c r="X279" i="4" s="1"/>
  <c r="M278" i="4"/>
  <c r="N278" i="4" s="1"/>
  <c r="V278" i="4" s="1"/>
  <c r="M277" i="4"/>
  <c r="N277" i="4" s="1"/>
  <c r="X277" i="4" s="1"/>
  <c r="M276" i="4"/>
  <c r="N276" i="4" s="1"/>
  <c r="V276" i="4" s="1"/>
  <c r="F280" i="4" s="1"/>
  <c r="K280" i="4" s="1"/>
  <c r="D566" i="6" s="1"/>
  <c r="M273" i="4"/>
  <c r="N273" i="4" s="1"/>
  <c r="Y273" i="4" s="1"/>
  <c r="F274" i="4" s="1"/>
  <c r="K274" i="4" s="1"/>
  <c r="D557" i="6" s="1"/>
  <c r="M270" i="4"/>
  <c r="N270" i="4" s="1"/>
  <c r="Y270" i="4" s="1"/>
  <c r="F271" i="4" s="1"/>
  <c r="K271" i="4" s="1"/>
  <c r="D551" i="6" s="1"/>
  <c r="M266" i="4"/>
  <c r="N266" i="4" s="1"/>
  <c r="X266" i="4" s="1"/>
  <c r="F268" i="4" s="1"/>
  <c r="K268" i="4" s="1"/>
  <c r="D545" i="6" s="1"/>
  <c r="M265" i="4"/>
  <c r="N265" i="4" s="1"/>
  <c r="V265" i="4" s="1"/>
  <c r="M264" i="4"/>
  <c r="N264" i="4" s="1"/>
  <c r="X264" i="4" s="1"/>
  <c r="M263" i="4"/>
  <c r="N263" i="4" s="1"/>
  <c r="V263" i="4" s="1"/>
  <c r="M260" i="4"/>
  <c r="N260" i="4" s="1"/>
  <c r="Y260" i="4" s="1"/>
  <c r="F261" i="4" s="1"/>
  <c r="K261" i="4" s="1"/>
  <c r="D535" i="6" s="1"/>
  <c r="J535" i="6" s="1"/>
  <c r="M257" i="4"/>
  <c r="N257" i="4" s="1"/>
  <c r="Y257" i="4" s="1"/>
  <c r="F258" i="4" s="1"/>
  <c r="K258" i="4" s="1"/>
  <c r="D529" i="6" s="1"/>
  <c r="M256" i="4"/>
  <c r="N256" i="4" s="1"/>
  <c r="Y256" i="4" s="1"/>
  <c r="M253" i="4"/>
  <c r="N253" i="4"/>
  <c r="Y253" i="4" s="1"/>
  <c r="M252" i="4"/>
  <c r="N252" i="4"/>
  <c r="Y252" i="4"/>
  <c r="F254" i="4" s="1"/>
  <c r="K254" i="4" s="1"/>
  <c r="D521" i="6" s="1"/>
  <c r="M249" i="4"/>
  <c r="N249" i="4" s="1"/>
  <c r="Y249" i="4" s="1"/>
  <c r="M248" i="4"/>
  <c r="N248" i="4" s="1"/>
  <c r="Y248" i="4" s="1"/>
  <c r="F250" i="4" s="1"/>
  <c r="K250" i="4" s="1"/>
  <c r="D513" i="6" s="1"/>
  <c r="F513" i="6" s="1"/>
  <c r="M245" i="4"/>
  <c r="N245" i="4" s="1"/>
  <c r="Y245" i="4" s="1"/>
  <c r="F246" i="4" s="1"/>
  <c r="K246" i="4" s="1"/>
  <c r="D504" i="6" s="1"/>
  <c r="F504" i="6" s="1"/>
  <c r="M242" i="4"/>
  <c r="N242" i="4" s="1"/>
  <c r="Y242" i="4" s="1"/>
  <c r="F243" i="4" s="1"/>
  <c r="K243" i="4" s="1"/>
  <c r="D498" i="6" s="1"/>
  <c r="M239" i="4"/>
  <c r="N239" i="4" s="1"/>
  <c r="Y239" i="4" s="1"/>
  <c r="F240" i="4" s="1"/>
  <c r="K240" i="4" s="1"/>
  <c r="D492" i="6" s="1"/>
  <c r="H492" i="6" s="1"/>
  <c r="E493" i="6" s="1"/>
  <c r="K493" i="6" s="1"/>
  <c r="M236" i="4"/>
  <c r="N236" i="4" s="1"/>
  <c r="Y236" i="4" s="1"/>
  <c r="F237" i="4" s="1"/>
  <c r="K237" i="4" s="1"/>
  <c r="D486" i="6" s="1"/>
  <c r="M233" i="4"/>
  <c r="N233" i="4" s="1"/>
  <c r="Y233" i="4" s="1"/>
  <c r="F234" i="4" s="1"/>
  <c r="K234" i="4" s="1"/>
  <c r="D480" i="6" s="1"/>
  <c r="M230" i="4"/>
  <c r="N230" i="4" s="1"/>
  <c r="Y230" i="4" s="1"/>
  <c r="F231" i="4" s="1"/>
  <c r="K231" i="4" s="1"/>
  <c r="D474" i="6" s="1"/>
  <c r="M227" i="4"/>
  <c r="N227" i="4" s="1"/>
  <c r="Y227" i="4" s="1"/>
  <c r="F228" i="4" s="1"/>
  <c r="K228" i="4" s="1"/>
  <c r="D468" i="6" s="1"/>
  <c r="M224" i="4"/>
  <c r="N224" i="4" s="1"/>
  <c r="Y224" i="4" s="1"/>
  <c r="F225" i="4" s="1"/>
  <c r="K225" i="4" s="1"/>
  <c r="D462" i="6" s="1"/>
  <c r="M221" i="4"/>
  <c r="N221" i="4"/>
  <c r="Y221" i="4" s="1"/>
  <c r="F222" i="4" s="1"/>
  <c r="K222" i="4" s="1"/>
  <c r="D456" i="6" s="1"/>
  <c r="F456" i="6" s="1"/>
  <c r="M218" i="4"/>
  <c r="N218" i="4" s="1"/>
  <c r="Y218" i="4" s="1"/>
  <c r="F219" i="4" s="1"/>
  <c r="K219" i="4" s="1"/>
  <c r="D450" i="6" s="1"/>
  <c r="M215" i="4"/>
  <c r="N215" i="4" s="1"/>
  <c r="Y215" i="4" s="1"/>
  <c r="M214" i="4"/>
  <c r="N214" i="4" s="1"/>
  <c r="Y214" i="4" s="1"/>
  <c r="M211" i="4"/>
  <c r="N211" i="4" s="1"/>
  <c r="Y211" i="4" s="1"/>
  <c r="M210" i="4"/>
  <c r="N210" i="4" s="1"/>
  <c r="Y210" i="4" s="1"/>
  <c r="F212" i="4" s="1"/>
  <c r="K212" i="4" s="1"/>
  <c r="D436" i="6" s="1"/>
  <c r="M207" i="4"/>
  <c r="N207" i="4" s="1"/>
  <c r="Y207" i="4" s="1"/>
  <c r="M206" i="4"/>
  <c r="N206" i="4" s="1"/>
  <c r="Y206" i="4" s="1"/>
  <c r="F208" i="4" s="1"/>
  <c r="K208" i="4" s="1"/>
  <c r="D428" i="6" s="1"/>
  <c r="F204" i="4"/>
  <c r="K204" i="4" s="1"/>
  <c r="D420" i="6" s="1"/>
  <c r="M203" i="4"/>
  <c r="N203" i="4" s="1"/>
  <c r="Y203" i="4" s="1"/>
  <c r="M200" i="4"/>
  <c r="N200" i="4"/>
  <c r="Y200" i="4" s="1"/>
  <c r="M199" i="4"/>
  <c r="N199" i="4" s="1"/>
  <c r="Y199" i="4" s="1"/>
  <c r="M196" i="4"/>
  <c r="N196" i="4" s="1"/>
  <c r="Y196" i="4" s="1"/>
  <c r="F197" i="4" s="1"/>
  <c r="K197" i="4" s="1"/>
  <c r="D405" i="6" s="1"/>
  <c r="M195" i="4"/>
  <c r="N195" i="4" s="1"/>
  <c r="Y195" i="4" s="1"/>
  <c r="M192" i="4"/>
  <c r="N192" i="4" s="1"/>
  <c r="Y192" i="4" s="1"/>
  <c r="F193" i="4" s="1"/>
  <c r="K193" i="4" s="1"/>
  <c r="D396" i="6" s="1"/>
  <c r="M189" i="4"/>
  <c r="N189" i="4" s="1"/>
  <c r="Y189" i="4" s="1"/>
  <c r="F190" i="4" s="1"/>
  <c r="K190" i="4" s="1"/>
  <c r="D390" i="6" s="1"/>
  <c r="M186" i="4"/>
  <c r="N186" i="4" s="1"/>
  <c r="Y186" i="4" s="1"/>
  <c r="F187" i="4" s="1"/>
  <c r="K187" i="4" s="1"/>
  <c r="D384" i="6" s="1"/>
  <c r="M183" i="4"/>
  <c r="N183" i="4" s="1"/>
  <c r="Y183" i="4" s="1"/>
  <c r="F184" i="4" s="1"/>
  <c r="K184" i="4" s="1"/>
  <c r="D378" i="6" s="1"/>
  <c r="M180" i="4"/>
  <c r="N180" i="4" s="1"/>
  <c r="Y180" i="4" s="1"/>
  <c r="F181" i="4" s="1"/>
  <c r="K181" i="4" s="1"/>
  <c r="D372" i="6" s="1"/>
  <c r="F178" i="4"/>
  <c r="K178" i="4" s="1"/>
  <c r="D366" i="6" s="1"/>
  <c r="M177" i="4"/>
  <c r="N177" i="4" s="1"/>
  <c r="Y177" i="4" s="1"/>
  <c r="M176" i="4"/>
  <c r="N176" i="4" s="1"/>
  <c r="Y176" i="4" s="1"/>
  <c r="M173" i="4"/>
  <c r="N173" i="4" s="1"/>
  <c r="Y173" i="4" s="1"/>
  <c r="M172" i="4"/>
  <c r="N172" i="4" s="1"/>
  <c r="Y172" i="4" s="1"/>
  <c r="F174" i="4" s="1"/>
  <c r="K174" i="4" s="1"/>
  <c r="D358" i="6" s="1"/>
  <c r="F170" i="4"/>
  <c r="K170" i="4" s="1"/>
  <c r="D350" i="6" s="1"/>
  <c r="J350" i="6" s="1"/>
  <c r="M169" i="4"/>
  <c r="N169" i="4" s="1"/>
  <c r="Y169" i="4" s="1"/>
  <c r="M166" i="4"/>
  <c r="N166" i="4" s="1"/>
  <c r="Y166" i="4" s="1"/>
  <c r="F167" i="4" s="1"/>
  <c r="K167" i="4" s="1"/>
  <c r="D344" i="6" s="1"/>
  <c r="M163" i="4"/>
  <c r="N163" i="4" s="1"/>
  <c r="Y163" i="4" s="1"/>
  <c r="M162" i="4"/>
  <c r="N162" i="4" s="1"/>
  <c r="Y162" i="4" s="1"/>
  <c r="M159" i="4"/>
  <c r="N159" i="4" s="1"/>
  <c r="AA159" i="4" s="1"/>
  <c r="F160" i="4" s="1"/>
  <c r="K160" i="4" s="1"/>
  <c r="D329" i="6" s="1"/>
  <c r="M156" i="4"/>
  <c r="N156" i="4" s="1"/>
  <c r="AA156" i="4" s="1"/>
  <c r="F157" i="4" s="1"/>
  <c r="K157" i="4" s="1"/>
  <c r="D323" i="6" s="1"/>
  <c r="M153" i="4"/>
  <c r="N153" i="4" s="1"/>
  <c r="AA153" i="4" s="1"/>
  <c r="M152" i="4"/>
  <c r="N152" i="4" s="1"/>
  <c r="AA152" i="4" s="1"/>
  <c r="F154" i="4" s="1"/>
  <c r="K154" i="4" s="1"/>
  <c r="D317" i="6" s="1"/>
  <c r="M149" i="4"/>
  <c r="N149" i="4" s="1"/>
  <c r="AA149" i="4" s="1"/>
  <c r="M148" i="4"/>
  <c r="N148" i="4" s="1"/>
  <c r="AA148" i="4" s="1"/>
  <c r="M145" i="4"/>
  <c r="N145" i="4" s="1"/>
  <c r="Y145" i="4" s="1"/>
  <c r="F146" i="4" s="1"/>
  <c r="K146" i="4" s="1"/>
  <c r="D301" i="6" s="1"/>
  <c r="M142" i="4"/>
  <c r="N142" i="4" s="1"/>
  <c r="Y142" i="4" s="1"/>
  <c r="F143" i="4" s="1"/>
  <c r="K143" i="4" s="1"/>
  <c r="D291" i="6" s="1"/>
  <c r="M139" i="4"/>
  <c r="N139" i="4" s="1"/>
  <c r="Y139" i="4" s="1"/>
  <c r="M138" i="4"/>
  <c r="N138" i="4" s="1"/>
  <c r="Y138" i="4" s="1"/>
  <c r="M135" i="4"/>
  <c r="N135" i="4" s="1"/>
  <c r="Y135" i="4" s="1"/>
  <c r="M134" i="4"/>
  <c r="N134" i="4" s="1"/>
  <c r="Y134" i="4" s="1"/>
  <c r="M131" i="4"/>
  <c r="N131" i="4" s="1"/>
  <c r="Y131" i="4" s="1"/>
  <c r="F132" i="4" s="1"/>
  <c r="K132" i="4" s="1"/>
  <c r="D263" i="6" s="1"/>
  <c r="M128" i="4"/>
  <c r="N128" i="4" s="1"/>
  <c r="Y128" i="4" s="1"/>
  <c r="F129" i="4" s="1"/>
  <c r="K129" i="4" s="1"/>
  <c r="D257" i="6" s="1"/>
  <c r="M125" i="4"/>
  <c r="N125" i="4" s="1"/>
  <c r="Y125" i="4" s="1"/>
  <c r="F126" i="4" s="1"/>
  <c r="K126" i="4" s="1"/>
  <c r="D251" i="6" s="1"/>
  <c r="M122" i="4"/>
  <c r="N122" i="4" s="1"/>
  <c r="Y122" i="4" s="1"/>
  <c r="F123" i="4" s="1"/>
  <c r="K123" i="4" s="1"/>
  <c r="D245" i="6" s="1"/>
  <c r="M119" i="4"/>
  <c r="N119" i="4" s="1"/>
  <c r="Y119" i="4" s="1"/>
  <c r="F120" i="4" s="1"/>
  <c r="K120" i="4" s="1"/>
  <c r="D239" i="6" s="1"/>
  <c r="F239" i="6" s="1"/>
  <c r="M116" i="4"/>
  <c r="N116" i="4" s="1"/>
  <c r="Y116" i="4" s="1"/>
  <c r="F117" i="4" s="1"/>
  <c r="K117" i="4" s="1"/>
  <c r="D233" i="6" s="1"/>
  <c r="M113" i="4"/>
  <c r="N113" i="4" s="1"/>
  <c r="Y113" i="4" s="1"/>
  <c r="F114" i="4" s="1"/>
  <c r="K114" i="4" s="1"/>
  <c r="D227" i="6" s="1"/>
  <c r="H227" i="6" s="1"/>
  <c r="E228" i="6" s="1"/>
  <c r="K228" i="6" s="1"/>
  <c r="M112" i="4"/>
  <c r="N112" i="4" s="1"/>
  <c r="Y112" i="4" s="1"/>
  <c r="M109" i="4"/>
  <c r="N109" i="4" s="1"/>
  <c r="Y109" i="4" s="1"/>
  <c r="M108" i="4"/>
  <c r="N108" i="4" s="1"/>
  <c r="Y108" i="4" s="1"/>
  <c r="F110" i="4" s="1"/>
  <c r="K110" i="4" s="1"/>
  <c r="D219" i="6" s="1"/>
  <c r="M105" i="4"/>
  <c r="N105" i="4" s="1"/>
  <c r="Y105" i="4" s="1"/>
  <c r="M104" i="4"/>
  <c r="N104" i="4" s="1"/>
  <c r="Y104" i="4" s="1"/>
  <c r="M101" i="4"/>
  <c r="N101" i="4"/>
  <c r="Y101" i="4" s="1"/>
  <c r="M100" i="4"/>
  <c r="N100" i="4" s="1"/>
  <c r="Y100" i="4" s="1"/>
  <c r="M97" i="4"/>
  <c r="N97" i="4" s="1"/>
  <c r="Y97" i="4" s="1"/>
  <c r="M96" i="4"/>
  <c r="N96" i="4" s="1"/>
  <c r="Y96" i="4" s="1"/>
  <c r="F98" i="4" s="1"/>
  <c r="K98" i="4" s="1"/>
  <c r="D196" i="6" s="1"/>
  <c r="F196" i="6" s="1"/>
  <c r="M93" i="4"/>
  <c r="N93" i="4" s="1"/>
  <c r="AA93" i="4" s="1"/>
  <c r="F94" i="4" s="1"/>
  <c r="K94" i="4" s="1"/>
  <c r="D187" i="6" s="1"/>
  <c r="M90" i="4"/>
  <c r="N90" i="4" s="1"/>
  <c r="AA90" i="4" s="1"/>
  <c r="F91" i="4" s="1"/>
  <c r="K91" i="4" s="1"/>
  <c r="D181" i="6" s="1"/>
  <c r="F88" i="4"/>
  <c r="K88" i="4" s="1"/>
  <c r="D175" i="6" s="1"/>
  <c r="M87" i="4"/>
  <c r="N87" i="4" s="1"/>
  <c r="AA87" i="4" s="1"/>
  <c r="M84" i="4"/>
  <c r="N84" i="4" s="1"/>
  <c r="AA84" i="4" s="1"/>
  <c r="M83" i="4"/>
  <c r="N83" i="4" s="1"/>
  <c r="AA83" i="4" s="1"/>
  <c r="F81" i="4"/>
  <c r="K81" i="4" s="1"/>
  <c r="D160" i="6" s="1"/>
  <c r="M79" i="4"/>
  <c r="N79" i="4" s="1"/>
  <c r="Z79" i="4" s="1"/>
  <c r="M78" i="4"/>
  <c r="N78" i="4" s="1"/>
  <c r="V78" i="4" s="1"/>
  <c r="F80" i="4" s="1"/>
  <c r="K80" i="4" s="1"/>
  <c r="D161" i="6" s="1"/>
  <c r="M75" i="4"/>
  <c r="N75" i="4" s="1"/>
  <c r="Y75" i="4" s="1"/>
  <c r="F76" i="4" s="1"/>
  <c r="K76" i="4" s="1"/>
  <c r="D151" i="6" s="1"/>
  <c r="M71" i="4"/>
  <c r="N71" i="4" s="1"/>
  <c r="X71" i="4" s="1"/>
  <c r="M70" i="4"/>
  <c r="N70" i="4" s="1"/>
  <c r="V70" i="4" s="1"/>
  <c r="M69" i="4"/>
  <c r="N69" i="4" s="1"/>
  <c r="X69" i="4" s="1"/>
  <c r="F73" i="4" s="1"/>
  <c r="K73" i="4" s="1"/>
  <c r="D145" i="6" s="1"/>
  <c r="M68" i="4"/>
  <c r="N68" i="4" s="1"/>
  <c r="V68" i="4" s="1"/>
  <c r="F72" i="4" s="1"/>
  <c r="K72" i="4" s="1"/>
  <c r="D144" i="6" s="1"/>
  <c r="J144" i="6" s="1"/>
  <c r="M65" i="4"/>
  <c r="N65" i="4" s="1"/>
  <c r="Y65" i="4" s="1"/>
  <c r="M64" i="4"/>
  <c r="N64" i="4" s="1"/>
  <c r="Y64" i="4" s="1"/>
  <c r="F66" i="4" s="1"/>
  <c r="K66" i="4" s="1"/>
  <c r="D135" i="6" s="1"/>
  <c r="F62" i="4"/>
  <c r="K62" i="4" s="1"/>
  <c r="D126" i="6" s="1"/>
  <c r="H126" i="6" s="1"/>
  <c r="E127" i="6" s="1"/>
  <c r="K127" i="6" s="1"/>
  <c r="M61" i="4"/>
  <c r="N61" i="4" s="1"/>
  <c r="Y61" i="4" s="1"/>
  <c r="M60" i="4"/>
  <c r="N60" i="4" s="1"/>
  <c r="Y60" i="4" s="1"/>
  <c r="M56" i="4"/>
  <c r="N56" i="4"/>
  <c r="Y56" i="4" s="1"/>
  <c r="M55" i="4"/>
  <c r="N55" i="4" s="1"/>
  <c r="Y55" i="4" s="1"/>
  <c r="M54" i="4"/>
  <c r="N54" i="4" s="1"/>
  <c r="V54" i="4" s="1"/>
  <c r="F57" i="4" s="1"/>
  <c r="K57" i="4" s="1"/>
  <c r="D113" i="6" s="1"/>
  <c r="M50" i="4"/>
  <c r="N50" i="4" s="1"/>
  <c r="Y50" i="4" s="1"/>
  <c r="F52" i="4" s="1"/>
  <c r="K52" i="4" s="1"/>
  <c r="D88" i="6" s="1"/>
  <c r="F88" i="6" s="1"/>
  <c r="M49" i="4"/>
  <c r="N49" i="4" s="1"/>
  <c r="V49" i="4" s="1"/>
  <c r="F51" i="4" s="1"/>
  <c r="K51" i="4" s="1"/>
  <c r="D89" i="6" s="1"/>
  <c r="M46" i="4"/>
  <c r="N46" i="4" s="1"/>
  <c r="Z46" i="4" s="1"/>
  <c r="F47" i="4" s="1"/>
  <c r="K47" i="4" s="1"/>
  <c r="D82" i="6" s="1"/>
  <c r="M42" i="4"/>
  <c r="N42" i="4"/>
  <c r="Z42" i="4" s="1"/>
  <c r="M41" i="4"/>
  <c r="N41" i="4" s="1"/>
  <c r="V41" i="4" s="1"/>
  <c r="M40" i="4"/>
  <c r="N40" i="4" s="1"/>
  <c r="Z40" i="4" s="1"/>
  <c r="M39" i="4"/>
  <c r="N39" i="4" s="1"/>
  <c r="V39" i="4" s="1"/>
  <c r="F36" i="4"/>
  <c r="K36" i="4"/>
  <c r="D63" i="6" s="1"/>
  <c r="M35" i="4"/>
  <c r="N35" i="4" s="1"/>
  <c r="Y35" i="4" s="1"/>
  <c r="M34" i="4"/>
  <c r="N34" i="4" s="1"/>
  <c r="Y34" i="4" s="1"/>
  <c r="F37" i="4" s="1"/>
  <c r="K37" i="4" s="1"/>
  <c r="D62" i="6" s="1"/>
  <c r="M33" i="4"/>
  <c r="N33" i="4" s="1"/>
  <c r="V33" i="4" s="1"/>
  <c r="M29" i="4"/>
  <c r="N29" i="4" s="1"/>
  <c r="Z29" i="4" s="1"/>
  <c r="F31" i="4" s="1"/>
  <c r="K31" i="4" s="1"/>
  <c r="D45" i="6" s="1"/>
  <c r="M28" i="4"/>
  <c r="N28" i="4" s="1"/>
  <c r="V28" i="4" s="1"/>
  <c r="F30" i="4" s="1"/>
  <c r="K30" i="4" s="1"/>
  <c r="D44" i="6" s="1"/>
  <c r="M24" i="4"/>
  <c r="N24" i="4" s="1"/>
  <c r="X24" i="4" s="1"/>
  <c r="M23" i="4"/>
  <c r="N23" i="4" s="1"/>
  <c r="V23" i="4" s="1"/>
  <c r="M22" i="4"/>
  <c r="N22" i="4" s="1"/>
  <c r="X22" i="4" s="1"/>
  <c r="F26" i="4" s="1"/>
  <c r="K26" i="4" s="1"/>
  <c r="D35" i="6" s="1"/>
  <c r="M21" i="4"/>
  <c r="N21" i="4" s="1"/>
  <c r="V21" i="4" s="1"/>
  <c r="F25" i="4" s="1"/>
  <c r="K25" i="4" s="1"/>
  <c r="D34" i="6" s="1"/>
  <c r="F34" i="6" s="1"/>
  <c r="F19" i="4"/>
  <c r="K19" i="4" s="1"/>
  <c r="D25" i="6" s="1"/>
  <c r="M17" i="4"/>
  <c r="N17" i="4" s="1"/>
  <c r="X17" i="4" s="1"/>
  <c r="M16" i="4"/>
  <c r="N16" i="4" s="1"/>
  <c r="V16" i="4" s="1"/>
  <c r="F18" i="4" s="1"/>
  <c r="K18" i="4" s="1"/>
  <c r="D24" i="6" s="1"/>
  <c r="H24" i="6" s="1"/>
  <c r="M13" i="4"/>
  <c r="N13" i="4" s="1"/>
  <c r="Y13" i="4" s="1"/>
  <c r="F14" i="4" s="1"/>
  <c r="K14" i="4" s="1"/>
  <c r="D18" i="6" s="1"/>
  <c r="M12" i="4"/>
  <c r="N12" i="4" s="1"/>
  <c r="Y12" i="4" s="1"/>
  <c r="M8" i="4"/>
  <c r="N8" i="4" s="1"/>
  <c r="X8" i="4" s="1"/>
  <c r="M7" i="4"/>
  <c r="N7" i="4" s="1"/>
  <c r="V7" i="4" s="1"/>
  <c r="M6" i="4"/>
  <c r="N6" i="4" s="1"/>
  <c r="X6" i="4" s="1"/>
  <c r="F10" i="4" s="1"/>
  <c r="K10" i="4" s="1"/>
  <c r="D10" i="6" s="1"/>
  <c r="M5" i="4"/>
  <c r="N5" i="4"/>
  <c r="V5" i="4"/>
  <c r="F9" i="4" s="1"/>
  <c r="K9" i="4" s="1"/>
  <c r="D9" i="6" s="1"/>
  <c r="H706" i="6"/>
  <c r="J706" i="6"/>
  <c r="H704" i="6"/>
  <c r="J703" i="6"/>
  <c r="J701" i="6"/>
  <c r="H696" i="6"/>
  <c r="J696" i="6"/>
  <c r="F695" i="6"/>
  <c r="E696" i="6" s="1"/>
  <c r="F696" i="6" s="1"/>
  <c r="H694" i="6"/>
  <c r="H690" i="6"/>
  <c r="J690" i="6"/>
  <c r="H689" i="6"/>
  <c r="J689" i="6"/>
  <c r="H688" i="6"/>
  <c r="J688" i="6"/>
  <c r="H687" i="6"/>
  <c r="H682" i="6"/>
  <c r="J682" i="6"/>
  <c r="J681" i="6"/>
  <c r="F680" i="6"/>
  <c r="H676" i="6"/>
  <c r="J676" i="6"/>
  <c r="H666" i="6"/>
  <c r="H667" i="6" s="1"/>
  <c r="F89" i="7" s="1"/>
  <c r="F663" i="6"/>
  <c r="E88" i="7" s="1"/>
  <c r="E100" i="6" s="1"/>
  <c r="H663" i="6"/>
  <c r="F88" i="7" s="1"/>
  <c r="J663" i="6"/>
  <c r="G88" i="7" s="1"/>
  <c r="I50" i="6" s="1"/>
  <c r="J50" i="6" s="1"/>
  <c r="F662" i="6"/>
  <c r="H662" i="6"/>
  <c r="J662" i="6"/>
  <c r="K662" i="6"/>
  <c r="H658" i="6"/>
  <c r="J658" i="6"/>
  <c r="H656" i="6"/>
  <c r="J656" i="6"/>
  <c r="H655" i="6"/>
  <c r="J655" i="6"/>
  <c r="K655" i="6"/>
  <c r="J654" i="6"/>
  <c r="H650" i="6"/>
  <c r="J650" i="6"/>
  <c r="F648" i="6"/>
  <c r="H646" i="6"/>
  <c r="H645" i="6"/>
  <c r="F642" i="6"/>
  <c r="J642" i="6"/>
  <c r="H638" i="6"/>
  <c r="J638" i="6"/>
  <c r="F636" i="6"/>
  <c r="H632" i="6"/>
  <c r="J632" i="6"/>
  <c r="F631" i="6"/>
  <c r="H631" i="6"/>
  <c r="H629" i="6"/>
  <c r="J629" i="6"/>
  <c r="H628" i="6"/>
  <c r="H624" i="6"/>
  <c r="J624" i="6"/>
  <c r="F623" i="6"/>
  <c r="J623" i="6"/>
  <c r="H622" i="6"/>
  <c r="J622" i="6"/>
  <c r="H618" i="6"/>
  <c r="J618" i="6"/>
  <c r="H616" i="6"/>
  <c r="J616" i="6"/>
  <c r="H615" i="6"/>
  <c r="J615" i="6"/>
  <c r="F614" i="6"/>
  <c r="E616" i="6" s="1"/>
  <c r="F616" i="6" s="1"/>
  <c r="H610" i="6"/>
  <c r="J610" i="6"/>
  <c r="H608" i="6"/>
  <c r="J608" i="6"/>
  <c r="H606" i="6"/>
  <c r="H602" i="6"/>
  <c r="J602" i="6"/>
  <c r="H600" i="6"/>
  <c r="J600" i="6"/>
  <c r="H599" i="6"/>
  <c r="J599" i="6"/>
  <c r="F597" i="6"/>
  <c r="E599" i="6" s="1"/>
  <c r="F599" i="6" s="1"/>
  <c r="L599" i="6" s="1"/>
  <c r="J597" i="6"/>
  <c r="H593" i="6"/>
  <c r="J593" i="6"/>
  <c r="H591" i="6"/>
  <c r="J591" i="6"/>
  <c r="H590" i="6"/>
  <c r="J590" i="6"/>
  <c r="F589" i="6"/>
  <c r="K589" i="6"/>
  <c r="H584" i="6"/>
  <c r="J584" i="6"/>
  <c r="H582" i="6"/>
  <c r="J582" i="6"/>
  <c r="H581" i="6"/>
  <c r="F580" i="6"/>
  <c r="E582" i="6" s="1"/>
  <c r="K582" i="6" s="1"/>
  <c r="J580" i="6"/>
  <c r="H576" i="6"/>
  <c r="J576" i="6"/>
  <c r="H574" i="6"/>
  <c r="J574" i="6"/>
  <c r="J573" i="6"/>
  <c r="H568" i="6"/>
  <c r="J568" i="6"/>
  <c r="H565" i="6"/>
  <c r="J565" i="6"/>
  <c r="H564" i="6"/>
  <c r="J564" i="6"/>
  <c r="F563" i="6"/>
  <c r="H562" i="6"/>
  <c r="J562" i="6"/>
  <c r="H558" i="6"/>
  <c r="J558" i="6"/>
  <c r="H552" i="6"/>
  <c r="J552" i="6"/>
  <c r="F550" i="6"/>
  <c r="H546" i="6"/>
  <c r="J546" i="6"/>
  <c r="H543" i="6"/>
  <c r="J543" i="6"/>
  <c r="H542" i="6"/>
  <c r="J542" i="6"/>
  <c r="H540" i="6"/>
  <c r="H536" i="6"/>
  <c r="J536" i="6"/>
  <c r="H534" i="6"/>
  <c r="K534" i="6"/>
  <c r="H530" i="6"/>
  <c r="J530" i="6"/>
  <c r="H528" i="6"/>
  <c r="J528" i="6"/>
  <c r="F527" i="6"/>
  <c r="H527" i="6"/>
  <c r="K527" i="6"/>
  <c r="F526" i="6"/>
  <c r="E528" i="6" s="1"/>
  <c r="K528" i="6" s="1"/>
  <c r="H522" i="6"/>
  <c r="J522" i="6"/>
  <c r="H520" i="6"/>
  <c r="J520" i="6"/>
  <c r="F519" i="6"/>
  <c r="H519" i="6"/>
  <c r="H518" i="6"/>
  <c r="J518" i="6"/>
  <c r="H514" i="6"/>
  <c r="J514" i="6"/>
  <c r="H512" i="6"/>
  <c r="J512" i="6"/>
  <c r="H511" i="6"/>
  <c r="J511" i="6"/>
  <c r="J510" i="6"/>
  <c r="F509" i="6"/>
  <c r="J509" i="6"/>
  <c r="H505" i="6"/>
  <c r="J505" i="6"/>
  <c r="F503" i="6"/>
  <c r="K503" i="6"/>
  <c r="H499" i="6"/>
  <c r="J499" i="6"/>
  <c r="H493" i="6"/>
  <c r="J493" i="6"/>
  <c r="J491" i="6"/>
  <c r="H487" i="6"/>
  <c r="J487" i="6"/>
  <c r="J485" i="6"/>
  <c r="H481" i="6"/>
  <c r="J481" i="6"/>
  <c r="F479" i="6"/>
  <c r="H475" i="6"/>
  <c r="J475" i="6"/>
  <c r="H473" i="6"/>
  <c r="H469" i="6"/>
  <c r="J469" i="6"/>
  <c r="F467" i="6"/>
  <c r="H463" i="6"/>
  <c r="J463" i="6"/>
  <c r="F461" i="6"/>
  <c r="J461" i="6"/>
  <c r="H457" i="6"/>
  <c r="J457" i="6"/>
  <c r="F455" i="6"/>
  <c r="H455" i="6"/>
  <c r="K455" i="6"/>
  <c r="H451" i="6"/>
  <c r="J451" i="6"/>
  <c r="H445" i="6"/>
  <c r="J445" i="6"/>
  <c r="H443" i="6"/>
  <c r="J443" i="6"/>
  <c r="J442" i="6"/>
  <c r="F441" i="6"/>
  <c r="H441" i="6"/>
  <c r="H437" i="6"/>
  <c r="J437" i="6"/>
  <c r="H435" i="6"/>
  <c r="J435" i="6"/>
  <c r="F433" i="6"/>
  <c r="H429" i="6"/>
  <c r="J429" i="6"/>
  <c r="H427" i="6"/>
  <c r="J427" i="6"/>
  <c r="F426" i="6"/>
  <c r="H426" i="6"/>
  <c r="H425" i="6"/>
  <c r="H421" i="6"/>
  <c r="J421" i="6"/>
  <c r="H415" i="6"/>
  <c r="J415" i="6"/>
  <c r="H413" i="6"/>
  <c r="J413" i="6"/>
  <c r="H412" i="6"/>
  <c r="J412" i="6"/>
  <c r="F411" i="6"/>
  <c r="F410" i="6"/>
  <c r="E413" i="6" s="1"/>
  <c r="F413" i="6" s="1"/>
  <c r="H406" i="6"/>
  <c r="J406" i="6"/>
  <c r="H404" i="6"/>
  <c r="J404" i="6"/>
  <c r="H403" i="6"/>
  <c r="J403" i="6"/>
  <c r="H401" i="6"/>
  <c r="H397" i="6"/>
  <c r="J397" i="6"/>
  <c r="F395" i="6"/>
  <c r="H395" i="6"/>
  <c r="J395" i="6"/>
  <c r="H391" i="6"/>
  <c r="J391" i="6"/>
  <c r="F389" i="6"/>
  <c r="H389" i="6"/>
  <c r="H385" i="6"/>
  <c r="J385" i="6"/>
  <c r="H383" i="6"/>
  <c r="H379" i="6"/>
  <c r="J379" i="6"/>
  <c r="H377" i="6"/>
  <c r="H373" i="6"/>
  <c r="J373" i="6"/>
  <c r="H367" i="6"/>
  <c r="J367" i="6"/>
  <c r="H365" i="6"/>
  <c r="J365" i="6"/>
  <c r="F363" i="6"/>
  <c r="H359" i="6"/>
  <c r="J359" i="6"/>
  <c r="H357" i="6"/>
  <c r="J357" i="6"/>
  <c r="H355" i="6"/>
  <c r="H351" i="6"/>
  <c r="J351" i="6"/>
  <c r="F349" i="6"/>
  <c r="J349" i="6"/>
  <c r="H345" i="6"/>
  <c r="J345" i="6"/>
  <c r="F343" i="6"/>
  <c r="H339" i="6"/>
  <c r="J339" i="6"/>
  <c r="H337" i="6"/>
  <c r="J337" i="6"/>
  <c r="H336" i="6"/>
  <c r="J336" i="6"/>
  <c r="F334" i="6"/>
  <c r="H334" i="6"/>
  <c r="H330" i="6"/>
  <c r="J330" i="6"/>
  <c r="H328" i="6"/>
  <c r="H324" i="6"/>
  <c r="J324" i="6"/>
  <c r="F322" i="6"/>
  <c r="J322" i="6"/>
  <c r="H318" i="6"/>
  <c r="J318" i="6"/>
  <c r="H316" i="6"/>
  <c r="J316" i="6"/>
  <c r="F315" i="6"/>
  <c r="H310" i="6"/>
  <c r="J310" i="6"/>
  <c r="H308" i="6"/>
  <c r="J308" i="6"/>
  <c r="H307" i="6"/>
  <c r="J306" i="6"/>
  <c r="H302" i="6"/>
  <c r="J302" i="6"/>
  <c r="J300" i="6"/>
  <c r="F298" i="6"/>
  <c r="H297" i="6"/>
  <c r="H296" i="6"/>
  <c r="H292" i="6"/>
  <c r="J292" i="6"/>
  <c r="F290" i="6"/>
  <c r="H290" i="6"/>
  <c r="J290" i="6"/>
  <c r="K290" i="6"/>
  <c r="J289" i="6"/>
  <c r="F288" i="6"/>
  <c r="J288" i="6"/>
  <c r="F286" i="6"/>
  <c r="J286" i="6"/>
  <c r="K286" i="6"/>
  <c r="H282" i="6"/>
  <c r="J282" i="6"/>
  <c r="H280" i="6"/>
  <c r="J280" i="6"/>
  <c r="H279" i="6"/>
  <c r="J279" i="6"/>
  <c r="H278" i="6"/>
  <c r="H277" i="6"/>
  <c r="H273" i="6"/>
  <c r="J273" i="6"/>
  <c r="H271" i="6"/>
  <c r="J271" i="6"/>
  <c r="H270" i="6"/>
  <c r="J270" i="6"/>
  <c r="J269" i="6"/>
  <c r="J268" i="6"/>
  <c r="H264" i="6"/>
  <c r="J264" i="6"/>
  <c r="F262" i="6"/>
  <c r="H258" i="6"/>
  <c r="J258" i="6"/>
  <c r="F256" i="6"/>
  <c r="H256" i="6"/>
  <c r="H252" i="6"/>
  <c r="J252" i="6"/>
  <c r="H246" i="6"/>
  <c r="J246" i="6"/>
  <c r="F244" i="6"/>
  <c r="J244" i="6"/>
  <c r="H240" i="6"/>
  <c r="J240" i="6"/>
  <c r="F238" i="6"/>
  <c r="H238" i="6"/>
  <c r="J238" i="6"/>
  <c r="H234" i="6"/>
  <c r="J234" i="6"/>
  <c r="F232" i="6"/>
  <c r="H232" i="6"/>
  <c r="J232" i="6"/>
  <c r="H228" i="6"/>
  <c r="J228" i="6"/>
  <c r="H226" i="6"/>
  <c r="J226" i="6"/>
  <c r="J225" i="6"/>
  <c r="J224" i="6"/>
  <c r="K224" i="6"/>
  <c r="H220" i="6"/>
  <c r="J220" i="6"/>
  <c r="H218" i="6"/>
  <c r="J218" i="6"/>
  <c r="H217" i="6"/>
  <c r="J217" i="6"/>
  <c r="F216" i="6"/>
  <c r="E218" i="6" s="1"/>
  <c r="F218" i="6" s="1"/>
  <c r="H212" i="6"/>
  <c r="J212" i="6"/>
  <c r="H210" i="6"/>
  <c r="J210" i="6"/>
  <c r="F209" i="6"/>
  <c r="H209" i="6"/>
  <c r="H208" i="6"/>
  <c r="H204" i="6"/>
  <c r="J204" i="6"/>
  <c r="H202" i="6"/>
  <c r="J202" i="6"/>
  <c r="F200" i="6"/>
  <c r="E202" i="6" s="1"/>
  <c r="F202" i="6" s="1"/>
  <c r="J200" i="6"/>
  <c r="E195" i="6"/>
  <c r="K195" i="6" s="1"/>
  <c r="H195" i="6"/>
  <c r="J195" i="6"/>
  <c r="H194" i="6"/>
  <c r="J194" i="6"/>
  <c r="F193" i="6"/>
  <c r="J193" i="6"/>
  <c r="H188" i="6"/>
  <c r="J188" i="6"/>
  <c r="H186" i="6"/>
  <c r="H182" i="6"/>
  <c r="J182" i="6"/>
  <c r="F180" i="6"/>
  <c r="H180" i="6"/>
  <c r="J180" i="6"/>
  <c r="H176" i="6"/>
  <c r="J176" i="6"/>
  <c r="H170" i="6"/>
  <c r="J170" i="6"/>
  <c r="H168" i="6"/>
  <c r="J168" i="6"/>
  <c r="H167" i="6"/>
  <c r="F166" i="6"/>
  <c r="H166" i="6"/>
  <c r="H162" i="6"/>
  <c r="J162" i="6"/>
  <c r="H159" i="6"/>
  <c r="J159" i="6"/>
  <c r="F158" i="6"/>
  <c r="J158" i="6"/>
  <c r="F156" i="6"/>
  <c r="J156" i="6"/>
  <c r="H152" i="6"/>
  <c r="J152" i="6"/>
  <c r="H146" i="6"/>
  <c r="J146" i="6"/>
  <c r="H143" i="6"/>
  <c r="J143" i="6"/>
  <c r="H142" i="6"/>
  <c r="J142" i="6"/>
  <c r="H141" i="6"/>
  <c r="J140" i="6"/>
  <c r="H136" i="6"/>
  <c r="J136" i="6"/>
  <c r="H134" i="6"/>
  <c r="J134" i="6"/>
  <c r="H133" i="6"/>
  <c r="J133" i="6"/>
  <c r="F132" i="6"/>
  <c r="F131" i="6"/>
  <c r="E133" i="6" s="1"/>
  <c r="K133" i="6" s="1"/>
  <c r="H127" i="6"/>
  <c r="J127" i="6"/>
  <c r="H125" i="6"/>
  <c r="J125" i="6"/>
  <c r="H124" i="6"/>
  <c r="J124" i="6"/>
  <c r="H123" i="6"/>
  <c r="J123" i="6"/>
  <c r="F117" i="6"/>
  <c r="J117" i="6"/>
  <c r="F116" i="6"/>
  <c r="F115" i="6"/>
  <c r="J115" i="6"/>
  <c r="F114" i="6"/>
  <c r="H114" i="6"/>
  <c r="J114" i="6"/>
  <c r="J111" i="6"/>
  <c r="J109" i="6"/>
  <c r="F107" i="6"/>
  <c r="H106" i="6"/>
  <c r="F105" i="6"/>
  <c r="H105" i="6"/>
  <c r="H104" i="6"/>
  <c r="J104" i="6"/>
  <c r="H96" i="6"/>
  <c r="J96" i="6"/>
  <c r="H90" i="6"/>
  <c r="J90" i="6"/>
  <c r="F87" i="6"/>
  <c r="J87" i="6"/>
  <c r="H83" i="6"/>
  <c r="J83" i="6"/>
  <c r="H77" i="6"/>
  <c r="J77" i="6"/>
  <c r="H74" i="6"/>
  <c r="J74" i="6"/>
  <c r="J72" i="6"/>
  <c r="H66" i="6"/>
  <c r="F65" i="6"/>
  <c r="H65" i="6"/>
  <c r="K65" i="6"/>
  <c r="H64" i="6"/>
  <c r="J64" i="6"/>
  <c r="F61" i="6"/>
  <c r="F60" i="6"/>
  <c r="H60" i="6"/>
  <c r="F59" i="6"/>
  <c r="K59" i="6"/>
  <c r="H56" i="6"/>
  <c r="F55" i="6"/>
  <c r="H55" i="6"/>
  <c r="J55" i="6"/>
  <c r="F54" i="6"/>
  <c r="H54" i="6"/>
  <c r="J54" i="6"/>
  <c r="H46" i="6"/>
  <c r="J46" i="6"/>
  <c r="F43" i="6"/>
  <c r="H42" i="6"/>
  <c r="J42" i="6"/>
  <c r="F41" i="6"/>
  <c r="H41" i="6"/>
  <c r="J41" i="6"/>
  <c r="K41" i="6"/>
  <c r="H40" i="6"/>
  <c r="H36" i="6"/>
  <c r="J36" i="6"/>
  <c r="H33" i="6"/>
  <c r="J33" i="6"/>
  <c r="H32" i="6"/>
  <c r="J32" i="6"/>
  <c r="F31" i="6"/>
  <c r="J31" i="6"/>
  <c r="H26" i="6"/>
  <c r="J26" i="6"/>
  <c r="K25" i="6"/>
  <c r="H19" i="6"/>
  <c r="J19" i="6"/>
  <c r="H17" i="6"/>
  <c r="J17" i="6"/>
  <c r="F16" i="6"/>
  <c r="J16" i="6"/>
  <c r="F15" i="6"/>
  <c r="E17" i="6" s="1"/>
  <c r="F17" i="6" s="1"/>
  <c r="H15" i="6"/>
  <c r="J15" i="6"/>
  <c r="H11" i="6"/>
  <c r="J11" i="6"/>
  <c r="H8" i="6"/>
  <c r="J8" i="6"/>
  <c r="H7" i="6"/>
  <c r="J7" i="6"/>
  <c r="F6" i="6"/>
  <c r="H5" i="6"/>
  <c r="I29" i="9"/>
  <c r="J29" i="9" s="1"/>
  <c r="F150" i="4" l="1"/>
  <c r="K150" i="4" s="1"/>
  <c r="D309" i="6" s="1"/>
  <c r="F297" i="4"/>
  <c r="K297" i="4" s="1"/>
  <c r="D601" i="6" s="1"/>
  <c r="K160" i="6"/>
  <c r="F102" i="4"/>
  <c r="K102" i="4" s="1"/>
  <c r="D203" i="6" s="1"/>
  <c r="H203" i="6" s="1"/>
  <c r="E204" i="6" s="1"/>
  <c r="F204" i="6" s="1"/>
  <c r="L204" i="6" s="1"/>
  <c r="F216" i="4"/>
  <c r="K216" i="4" s="1"/>
  <c r="D444" i="6" s="1"/>
  <c r="H444" i="6" s="1"/>
  <c r="F281" i="4"/>
  <c r="K281" i="4" s="1"/>
  <c r="D567" i="6" s="1"/>
  <c r="F567" i="6" s="1"/>
  <c r="K108" i="6"/>
  <c r="K434" i="6"/>
  <c r="K572" i="6"/>
  <c r="H87" i="6"/>
  <c r="L87" i="6" s="1"/>
  <c r="F136" i="4"/>
  <c r="K136" i="4" s="1"/>
  <c r="D272" i="6" s="1"/>
  <c r="H272" i="6" s="1"/>
  <c r="F164" i="4"/>
  <c r="K164" i="4" s="1"/>
  <c r="D338" i="6" s="1"/>
  <c r="F315" i="4"/>
  <c r="K315" i="4" s="1"/>
  <c r="D657" i="6" s="1"/>
  <c r="H657" i="6" s="1"/>
  <c r="F9" i="6"/>
  <c r="L9" i="6" s="1"/>
  <c r="F217" i="6"/>
  <c r="L217" i="6" s="1"/>
  <c r="F106" i="4"/>
  <c r="K106" i="4" s="1"/>
  <c r="D211" i="6" s="1"/>
  <c r="K301" i="6"/>
  <c r="K575" i="6"/>
  <c r="K702" i="6"/>
  <c r="F140" i="4"/>
  <c r="K140" i="4" s="1"/>
  <c r="D281" i="6" s="1"/>
  <c r="F281" i="6" s="1"/>
  <c r="K563" i="6"/>
  <c r="K607" i="6"/>
  <c r="F289" i="4"/>
  <c r="K289" i="4" s="1"/>
  <c r="D583" i="6" s="1"/>
  <c r="K513" i="6"/>
  <c r="K55" i="6"/>
  <c r="K75" i="6"/>
  <c r="K88" i="6"/>
  <c r="J456" i="6"/>
  <c r="J458" i="6" s="1"/>
  <c r="G60" i="7" s="1"/>
  <c r="F474" i="6"/>
  <c r="L474" i="6" s="1"/>
  <c r="K174" i="6"/>
  <c r="K299" i="6"/>
  <c r="F702" i="6"/>
  <c r="L702" i="6" s="1"/>
  <c r="F43" i="4"/>
  <c r="K43" i="4" s="1"/>
  <c r="D76" i="6" s="1"/>
  <c r="J76" i="6" s="1"/>
  <c r="J78" i="6" s="1"/>
  <c r="G10" i="7" s="1"/>
  <c r="F85" i="4"/>
  <c r="K85" i="4" s="1"/>
  <c r="D169" i="6" s="1"/>
  <c r="F201" i="4"/>
  <c r="K201" i="4" s="1"/>
  <c r="D414" i="6" s="1"/>
  <c r="F414" i="6" s="1"/>
  <c r="F267" i="4"/>
  <c r="K267" i="4" s="1"/>
  <c r="D544" i="6" s="1"/>
  <c r="F544" i="6" s="1"/>
  <c r="L544" i="6" s="1"/>
  <c r="F73" i="6"/>
  <c r="F110" i="6"/>
  <c r="K646" i="6"/>
  <c r="F44" i="4"/>
  <c r="K44" i="4" s="1"/>
  <c r="D75" i="6" s="1"/>
  <c r="K670" i="6"/>
  <c r="J601" i="6"/>
  <c r="I19" i="9"/>
  <c r="J19" i="9" s="1"/>
  <c r="K356" i="6"/>
  <c r="J251" i="6"/>
  <c r="K30" i="6"/>
  <c r="K278" i="6"/>
  <c r="K150" i="6"/>
  <c r="K10" i="6"/>
  <c r="K72" i="6"/>
  <c r="K82" i="6"/>
  <c r="K104" i="6"/>
  <c r="K114" i="6"/>
  <c r="K151" i="6"/>
  <c r="K161" i="6"/>
  <c r="K175" i="6"/>
  <c r="K219" i="6"/>
  <c r="K233" i="6"/>
  <c r="K251" i="6"/>
  <c r="K281" i="6"/>
  <c r="K291" i="6"/>
  <c r="K329" i="6"/>
  <c r="K358" i="6"/>
  <c r="K377" i="6"/>
  <c r="K390" i="6"/>
  <c r="K425" i="6"/>
  <c r="K436" i="6"/>
  <c r="K450" i="6"/>
  <c r="K468" i="6"/>
  <c r="K544" i="6"/>
  <c r="K16" i="6"/>
  <c r="K250" i="6"/>
  <c r="K269" i="6"/>
  <c r="K328" i="6"/>
  <c r="K363" i="6"/>
  <c r="H433" i="6"/>
  <c r="K467" i="6"/>
  <c r="K156" i="6"/>
  <c r="K193" i="6"/>
  <c r="K395" i="6"/>
  <c r="K441" i="6"/>
  <c r="K486" i="6"/>
  <c r="K636" i="6"/>
  <c r="K675" i="6"/>
  <c r="H216" i="6"/>
  <c r="K141" i="6"/>
  <c r="K402" i="6"/>
  <c r="K622" i="6"/>
  <c r="H462" i="6"/>
  <c r="E463" i="6" s="1"/>
  <c r="F463" i="6" s="1"/>
  <c r="L463" i="6" s="1"/>
  <c r="K5" i="6"/>
  <c r="K115" i="6"/>
  <c r="K449" i="6"/>
  <c r="K42" i="6"/>
  <c r="K18" i="6"/>
  <c r="K666" i="6"/>
  <c r="E8" i="6"/>
  <c r="K8" i="6" s="1"/>
  <c r="E7" i="6"/>
  <c r="K7" i="6" s="1"/>
  <c r="K64" i="6"/>
  <c r="K314" i="6"/>
  <c r="H31" i="6"/>
  <c r="F104" i="6"/>
  <c r="K192" i="6"/>
  <c r="F425" i="6"/>
  <c r="E427" i="6" s="1"/>
  <c r="F427" i="6" s="1"/>
  <c r="F607" i="6"/>
  <c r="J181" i="6"/>
  <c r="J183" i="6" s="1"/>
  <c r="G22" i="7" s="1"/>
  <c r="K62" i="6"/>
  <c r="K309" i="6"/>
  <c r="K541" i="6"/>
  <c r="K629" i="6"/>
  <c r="F377" i="6"/>
  <c r="L377" i="6" s="1"/>
  <c r="J253" i="6"/>
  <c r="G32" i="7" s="1"/>
  <c r="K109" i="6"/>
  <c r="K588" i="6"/>
  <c r="K58" i="6"/>
  <c r="K300" i="6"/>
  <c r="K123" i="6"/>
  <c r="K315" i="6"/>
  <c r="K349" i="6"/>
  <c r="H257" i="6"/>
  <c r="E258" i="6" s="1"/>
  <c r="F258" i="6" s="1"/>
  <c r="K405" i="6"/>
  <c r="F175" i="6"/>
  <c r="H72" i="6"/>
  <c r="K268" i="6"/>
  <c r="K654" i="6"/>
  <c r="H44" i="6"/>
  <c r="F89" i="6"/>
  <c r="H521" i="6"/>
  <c r="E522" i="6" s="1"/>
  <c r="F522" i="6" s="1"/>
  <c r="L522" i="6" s="1"/>
  <c r="K529" i="6"/>
  <c r="K573" i="6"/>
  <c r="F405" i="6"/>
  <c r="K208" i="6"/>
  <c r="J272" i="6"/>
  <c r="H566" i="6"/>
  <c r="K140" i="6"/>
  <c r="K518" i="6"/>
  <c r="H211" i="6"/>
  <c r="E212" i="6" s="1"/>
  <c r="F212" i="6" s="1"/>
  <c r="L212" i="6" s="1"/>
  <c r="K631" i="6"/>
  <c r="K645" i="6"/>
  <c r="K688" i="6"/>
  <c r="K485" i="6"/>
  <c r="K606" i="6"/>
  <c r="J691" i="6"/>
  <c r="G93" i="7" s="1"/>
  <c r="K131" i="6"/>
  <c r="L485" i="6"/>
  <c r="E591" i="6"/>
  <c r="K591" i="6" s="1"/>
  <c r="E357" i="6"/>
  <c r="K357" i="6" s="1"/>
  <c r="J636" i="6"/>
  <c r="L636" i="6" s="1"/>
  <c r="K67" i="6"/>
  <c r="K89" i="6"/>
  <c r="J45" i="6"/>
  <c r="F45" i="6"/>
  <c r="H245" i="6"/>
  <c r="E246" i="6" s="1"/>
  <c r="J245" i="6"/>
  <c r="F498" i="6"/>
  <c r="H498" i="6"/>
  <c r="E499" i="6" s="1"/>
  <c r="K499" i="6" s="1"/>
  <c r="J498" i="6"/>
  <c r="J500" i="6" s="1"/>
  <c r="G67" i="7" s="1"/>
  <c r="F551" i="6"/>
  <c r="J551" i="6"/>
  <c r="J553" i="6" s="1"/>
  <c r="G74" i="7" s="1"/>
  <c r="F82" i="6"/>
  <c r="H82" i="6"/>
  <c r="E83" i="6" s="1"/>
  <c r="K83" i="6" s="1"/>
  <c r="J82" i="6"/>
  <c r="J84" i="6" s="1"/>
  <c r="G11" i="7" s="1"/>
  <c r="F187" i="6"/>
  <c r="H187" i="6"/>
  <c r="J187" i="6"/>
  <c r="H323" i="6"/>
  <c r="E324" i="6" s="1"/>
  <c r="J323" i="6"/>
  <c r="F436" i="6"/>
  <c r="J436" i="6"/>
  <c r="H617" i="6"/>
  <c r="E618" i="6" s="1"/>
  <c r="F618" i="6" s="1"/>
  <c r="J617" i="6"/>
  <c r="H557" i="6"/>
  <c r="E558" i="6" s="1"/>
  <c r="F558" i="6" s="1"/>
  <c r="L558" i="6" s="1"/>
  <c r="J557" i="6"/>
  <c r="F35" i="6"/>
  <c r="J35" i="6"/>
  <c r="H145" i="6"/>
  <c r="J145" i="6"/>
  <c r="F378" i="6"/>
  <c r="L378" i="6" s="1"/>
  <c r="H378" i="6"/>
  <c r="E379" i="6" s="1"/>
  <c r="K379" i="6" s="1"/>
  <c r="F135" i="6"/>
  <c r="H135" i="6"/>
  <c r="E136" i="6" s="1"/>
  <c r="K136" i="6" s="1"/>
  <c r="F372" i="6"/>
  <c r="H372" i="6"/>
  <c r="E373" i="6" s="1"/>
  <c r="F10" i="6"/>
  <c r="L10" i="6" s="1"/>
  <c r="J10" i="6"/>
  <c r="J329" i="6"/>
  <c r="F329" i="6"/>
  <c r="H329" i="6"/>
  <c r="E330" i="6" s="1"/>
  <c r="K330" i="6" s="1"/>
  <c r="H450" i="6"/>
  <c r="E451" i="6" s="1"/>
  <c r="F451" i="6" s="1"/>
  <c r="J450" i="6"/>
  <c r="J452" i="6" s="1"/>
  <c r="G59" i="7" s="1"/>
  <c r="J9" i="6"/>
  <c r="H9" i="6"/>
  <c r="F113" i="6"/>
  <c r="J113" i="6"/>
  <c r="H113" i="6"/>
  <c r="F58" i="4"/>
  <c r="K58" i="4" s="1"/>
  <c r="D112" i="6" s="1"/>
  <c r="H112" i="6" s="1"/>
  <c r="H281" i="6"/>
  <c r="E282" i="6" s="1"/>
  <c r="F282" i="6" s="1"/>
  <c r="L282" i="6" s="1"/>
  <c r="G100" i="6"/>
  <c r="H100" i="6" s="1"/>
  <c r="G50" i="6"/>
  <c r="H50" i="6" s="1"/>
  <c r="J338" i="6"/>
  <c r="J340" i="6" s="1"/>
  <c r="G43" i="7" s="1"/>
  <c r="F338" i="6"/>
  <c r="H63" i="6"/>
  <c r="L63" i="6" s="1"/>
  <c r="J63" i="6"/>
  <c r="F161" i="6"/>
  <c r="H161" i="6"/>
  <c r="F583" i="6"/>
  <c r="H583" i="6"/>
  <c r="E584" i="6" s="1"/>
  <c r="F584" i="6" s="1"/>
  <c r="L584" i="6" s="1"/>
  <c r="J18" i="6"/>
  <c r="H18" i="6"/>
  <c r="E19" i="6" s="1"/>
  <c r="F19" i="6" s="1"/>
  <c r="L19" i="6" s="1"/>
  <c r="H160" i="6"/>
  <c r="F160" i="6"/>
  <c r="J160" i="6"/>
  <c r="L160" i="6" s="1"/>
  <c r="H219" i="6"/>
  <c r="L219" i="6" s="1"/>
  <c r="J219" i="6"/>
  <c r="J221" i="6" s="1"/>
  <c r="G27" i="7" s="1"/>
  <c r="F219" i="6"/>
  <c r="F529" i="6"/>
  <c r="J529" i="6"/>
  <c r="J531" i="6" s="1"/>
  <c r="G71" i="7" s="1"/>
  <c r="H529" i="6"/>
  <c r="E530" i="6" s="1"/>
  <c r="F530" i="6" s="1"/>
  <c r="L530" i="6" s="1"/>
  <c r="F263" i="6"/>
  <c r="H263" i="6"/>
  <c r="J263" i="6"/>
  <c r="H390" i="6"/>
  <c r="F390" i="6"/>
  <c r="J390" i="6"/>
  <c r="J392" i="6" s="1"/>
  <c r="G51" i="7" s="1"/>
  <c r="H291" i="6"/>
  <c r="E292" i="6" s="1"/>
  <c r="F292" i="6" s="1"/>
  <c r="L292" i="6" s="1"/>
  <c r="J291" i="6"/>
  <c r="F358" i="6"/>
  <c r="H358" i="6"/>
  <c r="E359" i="6" s="1"/>
  <c r="K359" i="6" s="1"/>
  <c r="J358" i="6"/>
  <c r="J360" i="6" s="1"/>
  <c r="G46" i="7" s="1"/>
  <c r="H144" i="6"/>
  <c r="H181" i="6"/>
  <c r="E182" i="6" s="1"/>
  <c r="K182" i="6" s="1"/>
  <c r="J196" i="6"/>
  <c r="J197" i="6" s="1"/>
  <c r="G24" i="7" s="1"/>
  <c r="F211" i="6"/>
  <c r="F213" i="6" s="1"/>
  <c r="J239" i="6"/>
  <c r="J241" i="6" s="1"/>
  <c r="G30" i="7" s="1"/>
  <c r="F257" i="6"/>
  <c r="J317" i="6"/>
  <c r="J319" i="6" s="1"/>
  <c r="G40" i="7" s="1"/>
  <c r="H350" i="6"/>
  <c r="E351" i="6" s="1"/>
  <c r="K351" i="6" s="1"/>
  <c r="H396" i="6"/>
  <c r="E397" i="6" s="1"/>
  <c r="K397" i="6" s="1"/>
  <c r="F428" i="6"/>
  <c r="J504" i="6"/>
  <c r="J506" i="6" s="1"/>
  <c r="G68" i="7" s="1"/>
  <c r="H535" i="6"/>
  <c r="E536" i="6" s="1"/>
  <c r="F536" i="6" s="1"/>
  <c r="L536" i="6" s="1"/>
  <c r="F566" i="6"/>
  <c r="F609" i="6"/>
  <c r="J637" i="6"/>
  <c r="H468" i="6"/>
  <c r="E469" i="6" s="1"/>
  <c r="K469" i="6" s="1"/>
  <c r="J468" i="6"/>
  <c r="F169" i="6"/>
  <c r="J169" i="6"/>
  <c r="H544" i="6"/>
  <c r="E546" i="6" s="1"/>
  <c r="K546" i="6" s="1"/>
  <c r="J203" i="6"/>
  <c r="H366" i="6"/>
  <c r="E367" i="6" s="1"/>
  <c r="F367" i="6" s="1"/>
  <c r="L367" i="6" s="1"/>
  <c r="J521" i="6"/>
  <c r="J649" i="6"/>
  <c r="F649" i="6"/>
  <c r="H649" i="6"/>
  <c r="E650" i="6" s="1"/>
  <c r="K650" i="6" s="1"/>
  <c r="F75" i="6"/>
  <c r="L75" i="6" s="1"/>
  <c r="J75" i="6"/>
  <c r="H75" i="6"/>
  <c r="F301" i="6"/>
  <c r="H301" i="6"/>
  <c r="E302" i="6" s="1"/>
  <c r="K302" i="6" s="1"/>
  <c r="J301" i="6"/>
  <c r="J303" i="6" s="1"/>
  <c r="G38" i="7" s="1"/>
  <c r="F480" i="6"/>
  <c r="J480" i="6"/>
  <c r="J482" i="6" s="1"/>
  <c r="G64" i="7" s="1"/>
  <c r="F25" i="6"/>
  <c r="H25" i="6"/>
  <c r="J25" i="6"/>
  <c r="F233" i="6"/>
  <c r="H233" i="6"/>
  <c r="E234" i="6" s="1"/>
  <c r="F234" i="6" s="1"/>
  <c r="L234" i="6" s="1"/>
  <c r="J233" i="6"/>
  <c r="J235" i="6" s="1"/>
  <c r="G29" i="7" s="1"/>
  <c r="F309" i="6"/>
  <c r="H309" i="6"/>
  <c r="E310" i="6" s="1"/>
  <c r="K310" i="6" s="1"/>
  <c r="J309" i="6"/>
  <c r="J311" i="6" s="1"/>
  <c r="G39" i="7" s="1"/>
  <c r="H486" i="6"/>
  <c r="E487" i="6" s="1"/>
  <c r="F487" i="6" s="1"/>
  <c r="L487" i="6" s="1"/>
  <c r="J486" i="6"/>
  <c r="H76" i="6"/>
  <c r="F384" i="6"/>
  <c r="J384" i="6"/>
  <c r="H151" i="6"/>
  <c r="E152" i="6" s="1"/>
  <c r="F151" i="6"/>
  <c r="J151" i="6"/>
  <c r="J153" i="6" s="1"/>
  <c r="G18" i="7" s="1"/>
  <c r="F100" i="6"/>
  <c r="F366" i="6"/>
  <c r="J366" i="6"/>
  <c r="J368" i="6" s="1"/>
  <c r="G47" i="7" s="1"/>
  <c r="F420" i="6"/>
  <c r="J420" i="6"/>
  <c r="J422" i="6" s="1"/>
  <c r="G55" i="7" s="1"/>
  <c r="F545" i="6"/>
  <c r="L545" i="6" s="1"/>
  <c r="H545" i="6"/>
  <c r="J545" i="6"/>
  <c r="H494" i="6"/>
  <c r="F66" i="7" s="1"/>
  <c r="J592" i="6"/>
  <c r="J594" i="6" s="1"/>
  <c r="G79" i="7" s="1"/>
  <c r="H62" i="6"/>
  <c r="F67" i="6"/>
  <c r="L67" i="6" s="1"/>
  <c r="L96" i="6"/>
  <c r="H244" i="6"/>
  <c r="K288" i="6"/>
  <c r="J396" i="6"/>
  <c r="J398" i="6" s="1"/>
  <c r="G52" i="7" s="1"/>
  <c r="H428" i="6"/>
  <c r="E429" i="6" s="1"/>
  <c r="F429" i="6" s="1"/>
  <c r="L429" i="6" s="1"/>
  <c r="K461" i="6"/>
  <c r="H609" i="6"/>
  <c r="E610" i="6" s="1"/>
  <c r="F610" i="6" s="1"/>
  <c r="L610" i="6" s="1"/>
  <c r="L681" i="6"/>
  <c r="L279" i="6"/>
  <c r="J428" i="6"/>
  <c r="J430" i="6" s="1"/>
  <c r="G56" i="7" s="1"/>
  <c r="F444" i="6"/>
  <c r="L461" i="6"/>
  <c r="K474" i="6"/>
  <c r="F492" i="6"/>
  <c r="H551" i="6"/>
  <c r="E552" i="6" s="1"/>
  <c r="F552" i="6" s="1"/>
  <c r="L552" i="6" s="1"/>
  <c r="J566" i="6"/>
  <c r="J609" i="6"/>
  <c r="L141" i="6"/>
  <c r="K366" i="6"/>
  <c r="K492" i="6"/>
  <c r="H45" i="6"/>
  <c r="L57" i="6"/>
  <c r="F63" i="6"/>
  <c r="J112" i="6"/>
  <c r="H169" i="6"/>
  <c r="E170" i="6" s="1"/>
  <c r="F170" i="6" s="1"/>
  <c r="L170" i="6" s="1"/>
  <c r="L186" i="6"/>
  <c r="J227" i="6"/>
  <c r="J229" i="6" s="1"/>
  <c r="G28" i="7" s="1"/>
  <c r="F245" i="6"/>
  <c r="F323" i="6"/>
  <c r="L323" i="6" s="1"/>
  <c r="H338" i="6"/>
  <c r="E339" i="6" s="1"/>
  <c r="F339" i="6" s="1"/>
  <c r="L339" i="6" s="1"/>
  <c r="L371" i="6"/>
  <c r="H384" i="6"/>
  <c r="H386" i="6" s="1"/>
  <c r="F462" i="6"/>
  <c r="J492" i="6"/>
  <c r="J494" i="6" s="1"/>
  <c r="K540" i="6"/>
  <c r="L643" i="6"/>
  <c r="K704" i="6"/>
  <c r="J89" i="6"/>
  <c r="L216" i="6"/>
  <c r="J405" i="6"/>
  <c r="H35" i="6"/>
  <c r="H405" i="6"/>
  <c r="E406" i="6" s="1"/>
  <c r="K406" i="6" s="1"/>
  <c r="E50" i="6"/>
  <c r="J211" i="6"/>
  <c r="J559" i="6"/>
  <c r="G75" i="7" s="1"/>
  <c r="K497" i="6"/>
  <c r="F557" i="6"/>
  <c r="J583" i="6"/>
  <c r="F601" i="6"/>
  <c r="L601" i="6" s="1"/>
  <c r="K615" i="6"/>
  <c r="K644" i="6"/>
  <c r="K649" i="6"/>
  <c r="K687" i="6"/>
  <c r="K144" i="6"/>
  <c r="K566" i="6"/>
  <c r="J603" i="6"/>
  <c r="G80" i="7" s="1"/>
  <c r="L662" i="6"/>
  <c r="H420" i="6"/>
  <c r="E421" i="6" s="1"/>
  <c r="F421" i="6" s="1"/>
  <c r="L421" i="6" s="1"/>
  <c r="H470" i="6"/>
  <c r="F62" i="7" s="1"/>
  <c r="H601" i="6"/>
  <c r="E602" i="6" s="1"/>
  <c r="F602" i="6" s="1"/>
  <c r="L602" i="6" s="1"/>
  <c r="K94" i="6"/>
  <c r="H88" i="7"/>
  <c r="K680" i="6"/>
  <c r="I100" i="6"/>
  <c r="J100" i="6" s="1"/>
  <c r="F344" i="6"/>
  <c r="J372" i="6"/>
  <c r="J374" i="6" s="1"/>
  <c r="G48" i="7" s="1"/>
  <c r="F617" i="6"/>
  <c r="L617" i="6" s="1"/>
  <c r="F145" i="6"/>
  <c r="J175" i="6"/>
  <c r="J177" i="6" s="1"/>
  <c r="G21" i="7" s="1"/>
  <c r="F521" i="6"/>
  <c r="K609" i="6"/>
  <c r="H436" i="6"/>
  <c r="E437" i="6" s="1"/>
  <c r="K437" i="6" s="1"/>
  <c r="F468" i="6"/>
  <c r="L468" i="6" s="1"/>
  <c r="J544" i="6"/>
  <c r="H175" i="6"/>
  <c r="E176" i="6" s="1"/>
  <c r="F176" i="6" s="1"/>
  <c r="L176" i="6" s="1"/>
  <c r="L210" i="6"/>
  <c r="L413" i="6"/>
  <c r="K580" i="6"/>
  <c r="J344" i="6"/>
  <c r="F24" i="6"/>
  <c r="F486" i="6"/>
  <c r="F488" i="6" s="1"/>
  <c r="E65" i="7" s="1"/>
  <c r="K545" i="6"/>
  <c r="F575" i="6"/>
  <c r="K44" i="6"/>
  <c r="F112" i="6"/>
  <c r="L167" i="6"/>
  <c r="F227" i="6"/>
  <c r="K117" i="6"/>
  <c r="K637" i="6"/>
  <c r="F666" i="6"/>
  <c r="L666" i="6" s="1"/>
  <c r="H229" i="6"/>
  <c r="F28" i="7" s="1"/>
  <c r="J675" i="6"/>
  <c r="J677" i="6" s="1"/>
  <c r="G91" i="7" s="1"/>
  <c r="I103" i="6" s="1"/>
  <c r="J103" i="6" s="1"/>
  <c r="H707" i="6"/>
  <c r="F95" i="7" s="1"/>
  <c r="G630" i="6" s="1"/>
  <c r="H630" i="6" s="1"/>
  <c r="J257" i="6"/>
  <c r="L202" i="6"/>
  <c r="K9" i="6"/>
  <c r="H259" i="6"/>
  <c r="F33" i="7" s="1"/>
  <c r="H34" i="6"/>
  <c r="K66" i="6"/>
  <c r="H89" i="6"/>
  <c r="K111" i="6"/>
  <c r="K126" i="6"/>
  <c r="F144" i="6"/>
  <c r="L144" i="6" s="1"/>
  <c r="K166" i="6"/>
  <c r="F181" i="6"/>
  <c r="L181" i="6" s="1"/>
  <c r="H196" i="6"/>
  <c r="H197" i="6" s="1"/>
  <c r="F24" i="7" s="1"/>
  <c r="K209" i="6"/>
  <c r="H239" i="6"/>
  <c r="E240" i="6" s="1"/>
  <c r="K240" i="6" s="1"/>
  <c r="K317" i="6"/>
  <c r="F350" i="6"/>
  <c r="L350" i="6" s="1"/>
  <c r="J378" i="6"/>
  <c r="J380" i="6" s="1"/>
  <c r="G49" i="7" s="1"/>
  <c r="F396" i="6"/>
  <c r="K456" i="6"/>
  <c r="H504" i="6"/>
  <c r="E505" i="6" s="1"/>
  <c r="F505" i="6" s="1"/>
  <c r="L505" i="6" s="1"/>
  <c r="F535" i="6"/>
  <c r="F537" i="6" s="1"/>
  <c r="E72" i="7" s="1"/>
  <c r="K623" i="6"/>
  <c r="H637" i="6"/>
  <c r="E638" i="6" s="1"/>
  <c r="F638" i="6" s="1"/>
  <c r="L638" i="6" s="1"/>
  <c r="K657" i="6"/>
  <c r="L383" i="6"/>
  <c r="L401" i="6"/>
  <c r="L224" i="6"/>
  <c r="K35" i="6"/>
  <c r="K63" i="6"/>
  <c r="J97" i="6"/>
  <c r="G13" i="7" s="1"/>
  <c r="K118" i="6"/>
  <c r="K145" i="6"/>
  <c r="H200" i="6"/>
  <c r="L425" i="6"/>
  <c r="K617" i="6"/>
  <c r="F644" i="6"/>
  <c r="F687" i="6"/>
  <c r="L687" i="6" s="1"/>
  <c r="K703" i="6"/>
  <c r="K201" i="6"/>
  <c r="K297" i="6"/>
  <c r="J577" i="6"/>
  <c r="G77" i="7" s="1"/>
  <c r="L288" i="6"/>
  <c r="J352" i="6"/>
  <c r="G45" i="7" s="1"/>
  <c r="K68" i="6"/>
  <c r="K95" i="6"/>
  <c r="K245" i="6"/>
  <c r="K289" i="6"/>
  <c r="K322" i="6"/>
  <c r="K551" i="6"/>
  <c r="K697" i="6"/>
  <c r="E706" i="6"/>
  <c r="K706" i="6" s="1"/>
  <c r="K257" i="6"/>
  <c r="K401" i="6"/>
  <c r="K462" i="6"/>
  <c r="H10" i="6"/>
  <c r="K106" i="6"/>
  <c r="K132" i="6"/>
  <c r="J44" i="6"/>
  <c r="K186" i="6"/>
  <c r="L389" i="6"/>
  <c r="K419" i="6"/>
  <c r="L473" i="6"/>
  <c r="L588" i="6"/>
  <c r="K681" i="6"/>
  <c r="K40" i="6"/>
  <c r="K211" i="6"/>
  <c r="K227" i="6"/>
  <c r="K277" i="6"/>
  <c r="K298" i="6"/>
  <c r="K355" i="6"/>
  <c r="K371" i="6"/>
  <c r="H488" i="6"/>
  <c r="F65" i="7" s="1"/>
  <c r="K526" i="6"/>
  <c r="K122" i="6"/>
  <c r="K167" i="6"/>
  <c r="K323" i="6"/>
  <c r="K444" i="6"/>
  <c r="K642" i="6"/>
  <c r="K45" i="6"/>
  <c r="K107" i="6"/>
  <c r="H153" i="6"/>
  <c r="F18" i="7" s="1"/>
  <c r="K159" i="6"/>
  <c r="J325" i="6"/>
  <c r="G41" i="7" s="1"/>
  <c r="H360" i="6"/>
  <c r="F46" i="7" s="1"/>
  <c r="K383" i="6"/>
  <c r="L580" i="6"/>
  <c r="J611" i="6"/>
  <c r="G81" i="7" s="1"/>
  <c r="J625" i="6"/>
  <c r="G83" i="7" s="1"/>
  <c r="K674" i="6"/>
  <c r="K690" i="6"/>
  <c r="K701" i="6"/>
  <c r="H265" i="6"/>
  <c r="F34" i="7" s="1"/>
  <c r="J205" i="6"/>
  <c r="G25" i="7" s="1"/>
  <c r="K335" i="6"/>
  <c r="K428" i="6"/>
  <c r="L572" i="6"/>
  <c r="H614" i="6"/>
  <c r="H619" i="6" s="1"/>
  <c r="F82" i="7" s="1"/>
  <c r="K647" i="6"/>
  <c r="K112" i="6"/>
  <c r="K509" i="6"/>
  <c r="L616" i="6"/>
  <c r="K24" i="6"/>
  <c r="K81" i="6"/>
  <c r="K307" i="6"/>
  <c r="K479" i="6"/>
  <c r="K581" i="6"/>
  <c r="K262" i="6"/>
  <c r="H456" i="6"/>
  <c r="E457" i="6" s="1"/>
  <c r="F457" i="6" s="1"/>
  <c r="L457" i="6" s="1"/>
  <c r="K57" i="6"/>
  <c r="K384" i="6"/>
  <c r="F556" i="6"/>
  <c r="L556" i="6" s="1"/>
  <c r="K694" i="6"/>
  <c r="L225" i="6"/>
  <c r="L442" i="6"/>
  <c r="K519" i="6"/>
  <c r="L286" i="6"/>
  <c r="J540" i="6"/>
  <c r="H20" i="6"/>
  <c r="F5" i="7" s="1"/>
  <c r="J331" i="6"/>
  <c r="G42" i="7" s="1"/>
  <c r="K510" i="6"/>
  <c r="H648" i="6"/>
  <c r="E308" i="6"/>
  <c r="K308" i="6" s="1"/>
  <c r="L306" i="6"/>
  <c r="L61" i="6"/>
  <c r="H317" i="6"/>
  <c r="J519" i="6"/>
  <c r="L519" i="6" s="1"/>
  <c r="K535" i="6"/>
  <c r="E682" i="6"/>
  <c r="K682" i="6" s="1"/>
  <c r="J704" i="6"/>
  <c r="L704" i="6" s="1"/>
  <c r="J62" i="6"/>
  <c r="F291" i="6"/>
  <c r="L405" i="6"/>
  <c r="E220" i="6"/>
  <c r="F220" i="6" s="1"/>
  <c r="L220" i="6" s="1"/>
  <c r="K272" i="6"/>
  <c r="K287" i="6"/>
  <c r="L290" i="6"/>
  <c r="J407" i="6"/>
  <c r="G53" i="7" s="1"/>
  <c r="K411" i="6"/>
  <c r="E542" i="6"/>
  <c r="F542" i="6" s="1"/>
  <c r="L542" i="6" s="1"/>
  <c r="K683" i="6"/>
  <c r="K378" i="6"/>
  <c r="K426" i="6"/>
  <c r="K442" i="6"/>
  <c r="L55" i="6"/>
  <c r="K116" i="6"/>
  <c r="J209" i="6"/>
  <c r="J213" i="6" s="1"/>
  <c r="G26" i="7" s="1"/>
  <c r="J259" i="6"/>
  <c r="G33" i="7" s="1"/>
  <c r="K306" i="6"/>
  <c r="E365" i="6"/>
  <c r="F365" i="6" s="1"/>
  <c r="L365" i="6" s="1"/>
  <c r="L419" i="6"/>
  <c r="H506" i="6"/>
  <c r="F68" i="7" s="1"/>
  <c r="L583" i="6"/>
  <c r="K705" i="6"/>
  <c r="K598" i="6"/>
  <c r="F317" i="6"/>
  <c r="H675" i="6"/>
  <c r="E676" i="6" s="1"/>
  <c r="F676" i="6" s="1"/>
  <c r="L676" i="6" s="1"/>
  <c r="K56" i="6"/>
  <c r="K239" i="6"/>
  <c r="K364" i="6"/>
  <c r="J386" i="6"/>
  <c r="G50" i="7" s="1"/>
  <c r="K396" i="6"/>
  <c r="L411" i="6"/>
  <c r="J651" i="6"/>
  <c r="G86" i="7" s="1"/>
  <c r="F111" i="6"/>
  <c r="K34" i="6"/>
  <c r="L56" i="6"/>
  <c r="H97" i="6"/>
  <c r="F13" i="7" s="1"/>
  <c r="L108" i="6"/>
  <c r="L349" i="6"/>
  <c r="H464" i="6"/>
  <c r="F61" i="7" s="1"/>
  <c r="K487" i="6"/>
  <c r="K504" i="6"/>
  <c r="H651" i="6"/>
  <c r="F86" i="7" s="1"/>
  <c r="L670" i="6"/>
  <c r="H88" i="6"/>
  <c r="L64" i="6"/>
  <c r="L156" i="6"/>
  <c r="J684" i="6"/>
  <c r="G92" i="7" s="1"/>
  <c r="J698" i="6"/>
  <c r="G94" i="7" s="1"/>
  <c r="F450" i="6"/>
  <c r="K6" i="6"/>
  <c r="K76" i="6"/>
  <c r="K105" i="6"/>
  <c r="K157" i="6"/>
  <c r="K296" i="6"/>
  <c r="E412" i="6"/>
  <c r="K412" i="6" s="1"/>
  <c r="K643" i="6"/>
  <c r="L654" i="6"/>
  <c r="H684" i="6"/>
  <c r="H344" i="6"/>
  <c r="E345" i="6" s="1"/>
  <c r="F345" i="6" s="1"/>
  <c r="L345" i="6" s="1"/>
  <c r="E124" i="6"/>
  <c r="K225" i="6"/>
  <c r="K350" i="6"/>
  <c r="E404" i="6"/>
  <c r="F404" i="6" s="1"/>
  <c r="L404" i="6" s="1"/>
  <c r="F18" i="6"/>
  <c r="J126" i="6"/>
  <c r="J128" i="6" s="1"/>
  <c r="G15" i="7" s="1"/>
  <c r="J462" i="6"/>
  <c r="J464" i="6" s="1"/>
  <c r="G61" i="7" s="1"/>
  <c r="K181" i="6"/>
  <c r="K196" i="6"/>
  <c r="J274" i="6"/>
  <c r="G35" i="7" s="1"/>
  <c r="J438" i="6"/>
  <c r="G57" i="7" s="1"/>
  <c r="K695" i="6"/>
  <c r="J24" i="6"/>
  <c r="J135" i="6"/>
  <c r="J137" i="6" s="1"/>
  <c r="G16" i="7" s="1"/>
  <c r="H567" i="6"/>
  <c r="H569" i="6" s="1"/>
  <c r="F76" i="7" s="1"/>
  <c r="K43" i="6"/>
  <c r="L150" i="6"/>
  <c r="L307" i="6"/>
  <c r="K334" i="6"/>
  <c r="K473" i="6"/>
  <c r="L497" i="6"/>
  <c r="K628" i="6"/>
  <c r="H474" i="6"/>
  <c r="E475" i="6" s="1"/>
  <c r="H575" i="6"/>
  <c r="H577" i="6" s="1"/>
  <c r="F77" i="7" s="1"/>
  <c r="L157" i="6"/>
  <c r="L15" i="6"/>
  <c r="K23" i="6"/>
  <c r="J166" i="6"/>
  <c r="J171" i="6" s="1"/>
  <c r="G20" i="7" s="1"/>
  <c r="J265" i="6"/>
  <c r="G34" i="7" s="1"/>
  <c r="K491" i="6"/>
  <c r="H691" i="6"/>
  <c r="F93" i="7" s="1"/>
  <c r="J34" i="6"/>
  <c r="L34" i="6" s="1"/>
  <c r="F251" i="6"/>
  <c r="H480" i="6"/>
  <c r="E481" i="6" s="1"/>
  <c r="F481" i="6" s="1"/>
  <c r="K61" i="6"/>
  <c r="H171" i="6"/>
  <c r="F20" i="7" s="1"/>
  <c r="L244" i="6"/>
  <c r="L297" i="6"/>
  <c r="H392" i="6"/>
  <c r="F51" i="7" s="1"/>
  <c r="K550" i="6"/>
  <c r="J161" i="6"/>
  <c r="J163" i="6" s="1"/>
  <c r="G19" i="7" s="1"/>
  <c r="J147" i="6"/>
  <c r="G17" i="7" s="1"/>
  <c r="K256" i="6"/>
  <c r="H537" i="6"/>
  <c r="F72" i="7" s="1"/>
  <c r="L573" i="6"/>
  <c r="J619" i="6"/>
  <c r="G82" i="7" s="1"/>
  <c r="L696" i="6"/>
  <c r="L689" i="6"/>
  <c r="E19" i="9"/>
  <c r="G19" i="9"/>
  <c r="H19" i="9" s="1"/>
  <c r="E24" i="9"/>
  <c r="F24" i="9" s="1"/>
  <c r="I27" i="9"/>
  <c r="J27" i="9" s="1"/>
  <c r="I26" i="9" s="1"/>
  <c r="J26" i="9" s="1"/>
  <c r="E29" i="9"/>
  <c r="E28" i="9"/>
  <c r="G27" i="9"/>
  <c r="H27" i="9" s="1"/>
  <c r="G26" i="9" s="1"/>
  <c r="H26" i="9" s="1"/>
  <c r="E27" i="9"/>
  <c r="F27" i="9" s="1"/>
  <c r="I25" i="9"/>
  <c r="J25" i="9" s="1"/>
  <c r="I24" i="9"/>
  <c r="J24" i="9" s="1"/>
  <c r="G24" i="9"/>
  <c r="H24" i="9" s="1"/>
  <c r="G21" i="9"/>
  <c r="H21" i="9" s="1"/>
  <c r="J657" i="6"/>
  <c r="J659" i="6" s="1"/>
  <c r="G87" i="7" s="1"/>
  <c r="H639" i="6"/>
  <c r="F85" i="7" s="1"/>
  <c r="H585" i="6"/>
  <c r="F78" i="7" s="1"/>
  <c r="J585" i="6"/>
  <c r="G78" i="7" s="1"/>
  <c r="E568" i="6"/>
  <c r="F568" i="6" s="1"/>
  <c r="L568" i="6" s="1"/>
  <c r="J567" i="6"/>
  <c r="H523" i="6"/>
  <c r="F70" i="7" s="1"/>
  <c r="J513" i="6"/>
  <c r="J515" i="6" s="1"/>
  <c r="G69" i="7" s="1"/>
  <c r="H513" i="6"/>
  <c r="E514" i="6" s="1"/>
  <c r="K514" i="6" s="1"/>
  <c r="K505" i="6"/>
  <c r="F493" i="6"/>
  <c r="L493" i="6" s="1"/>
  <c r="F494" i="6"/>
  <c r="E66" i="7" s="1"/>
  <c r="L486" i="6"/>
  <c r="J488" i="6"/>
  <c r="G65" i="7" s="1"/>
  <c r="J474" i="6"/>
  <c r="J476" i="6" s="1"/>
  <c r="G63" i="7" s="1"/>
  <c r="J470" i="6"/>
  <c r="G62" i="7" s="1"/>
  <c r="H446" i="6"/>
  <c r="F58" i="7" s="1"/>
  <c r="H380" i="6"/>
  <c r="F49" i="7" s="1"/>
  <c r="H374" i="6"/>
  <c r="F48" i="7" s="1"/>
  <c r="H352" i="6"/>
  <c r="F45" i="7" s="1"/>
  <c r="J293" i="6"/>
  <c r="G37" i="7" s="1"/>
  <c r="E264" i="6"/>
  <c r="K264" i="6" s="1"/>
  <c r="K258" i="6"/>
  <c r="H251" i="6"/>
  <c r="E252" i="6" s="1"/>
  <c r="H241" i="6"/>
  <c r="F30" i="7" s="1"/>
  <c r="H147" i="6"/>
  <c r="F17" i="7" s="1"/>
  <c r="E146" i="6"/>
  <c r="F146" i="6" s="1"/>
  <c r="L146" i="6" s="1"/>
  <c r="F126" i="6"/>
  <c r="L112" i="6"/>
  <c r="J88" i="6"/>
  <c r="J91" i="6" s="1"/>
  <c r="G12" i="7" s="1"/>
  <c r="H84" i="6"/>
  <c r="F11" i="7" s="1"/>
  <c r="F62" i="6"/>
  <c r="J37" i="6"/>
  <c r="G7" i="7" s="1"/>
  <c r="E26" i="6"/>
  <c r="F26" i="6" s="1"/>
  <c r="L26" i="6" s="1"/>
  <c r="E11" i="6"/>
  <c r="K11" i="6" s="1"/>
  <c r="J12" i="6"/>
  <c r="G4" i="7" s="1"/>
  <c r="L705" i="6"/>
  <c r="L703" i="6"/>
  <c r="L701" i="6"/>
  <c r="H633" i="6"/>
  <c r="F84" i="7" s="1"/>
  <c r="L697" i="6"/>
  <c r="F698" i="6"/>
  <c r="E94" i="7" s="1"/>
  <c r="L695" i="6"/>
  <c r="H698" i="6"/>
  <c r="F94" i="7" s="1"/>
  <c r="L694" i="6"/>
  <c r="L690" i="6"/>
  <c r="L688" i="6"/>
  <c r="K689" i="6"/>
  <c r="L683" i="6"/>
  <c r="L680" i="6"/>
  <c r="L674" i="6"/>
  <c r="I102" i="6"/>
  <c r="J102" i="6" s="1"/>
  <c r="L671" i="6"/>
  <c r="G102" i="6"/>
  <c r="H102" i="6" s="1"/>
  <c r="F52" i="6"/>
  <c r="L52" i="6" s="1"/>
  <c r="K52" i="6"/>
  <c r="E102" i="6"/>
  <c r="H90" i="7"/>
  <c r="I51" i="6"/>
  <c r="J51" i="6" s="1"/>
  <c r="G101" i="6"/>
  <c r="H101" i="6" s="1"/>
  <c r="G51" i="6"/>
  <c r="H51" i="6" s="1"/>
  <c r="L655" i="6"/>
  <c r="L656" i="6"/>
  <c r="L649" i="6"/>
  <c r="L648" i="6"/>
  <c r="L647" i="6"/>
  <c r="L646" i="6"/>
  <c r="L645" i="6"/>
  <c r="L644" i="6"/>
  <c r="L642" i="6"/>
  <c r="F639" i="6"/>
  <c r="E85" i="7" s="1"/>
  <c r="L631" i="6"/>
  <c r="E632" i="6"/>
  <c r="K632" i="6" s="1"/>
  <c r="L629" i="6"/>
  <c r="L628" i="6"/>
  <c r="F624" i="6"/>
  <c r="L624" i="6" s="1"/>
  <c r="K624" i="6"/>
  <c r="H625" i="6"/>
  <c r="F83" i="7" s="1"/>
  <c r="L623" i="6"/>
  <c r="L622" i="6"/>
  <c r="L615" i="6"/>
  <c r="K618" i="6"/>
  <c r="F619" i="6"/>
  <c r="E82" i="7" s="1"/>
  <c r="L618" i="6"/>
  <c r="H611" i="6"/>
  <c r="F81" i="7" s="1"/>
  <c r="K610" i="6"/>
  <c r="L607" i="6"/>
  <c r="L606" i="6"/>
  <c r="K601" i="6"/>
  <c r="L598" i="6"/>
  <c r="K597" i="6"/>
  <c r="L597" i="6"/>
  <c r="E600" i="6"/>
  <c r="K600" i="6" s="1"/>
  <c r="K592" i="6"/>
  <c r="H592" i="6"/>
  <c r="L589" i="6"/>
  <c r="K584" i="6"/>
  <c r="L581" i="6"/>
  <c r="L563" i="6"/>
  <c r="L562" i="6"/>
  <c r="K562" i="6"/>
  <c r="E564" i="6"/>
  <c r="K564" i="6" s="1"/>
  <c r="E565" i="6"/>
  <c r="F565" i="6" s="1"/>
  <c r="L565" i="6" s="1"/>
  <c r="L550" i="6"/>
  <c r="H547" i="6"/>
  <c r="F73" i="7" s="1"/>
  <c r="L541" i="6"/>
  <c r="J537" i="6"/>
  <c r="G72" i="7" s="1"/>
  <c r="L535" i="6"/>
  <c r="L534" i="6"/>
  <c r="L527" i="6"/>
  <c r="L526" i="6"/>
  <c r="L518" i="6"/>
  <c r="K522" i="6"/>
  <c r="E520" i="6"/>
  <c r="L510" i="6"/>
  <c r="L509" i="6"/>
  <c r="E511" i="6"/>
  <c r="F511" i="6" s="1"/>
  <c r="L511" i="6" s="1"/>
  <c r="E512" i="6"/>
  <c r="K512" i="6" s="1"/>
  <c r="F506" i="6"/>
  <c r="E68" i="7" s="1"/>
  <c r="L503" i="6"/>
  <c r="L492" i="6"/>
  <c r="L491" i="6"/>
  <c r="L479" i="6"/>
  <c r="L467" i="6"/>
  <c r="F469" i="6"/>
  <c r="K463" i="6"/>
  <c r="F464" i="6"/>
  <c r="E61" i="7" s="1"/>
  <c r="L455" i="6"/>
  <c r="L449" i="6"/>
  <c r="L451" i="6"/>
  <c r="E445" i="6"/>
  <c r="F445" i="6" s="1"/>
  <c r="L445" i="6" s="1"/>
  <c r="L441" i="6"/>
  <c r="E443" i="6"/>
  <c r="F443" i="6" s="1"/>
  <c r="L443" i="6" s="1"/>
  <c r="H438" i="6"/>
  <c r="F57" i="7" s="1"/>
  <c r="L436" i="6"/>
  <c r="L434" i="6"/>
  <c r="F437" i="6"/>
  <c r="L437" i="6" s="1"/>
  <c r="E435" i="6"/>
  <c r="K435" i="6" s="1"/>
  <c r="L433" i="6"/>
  <c r="L426" i="6"/>
  <c r="L427" i="6"/>
  <c r="F430" i="6"/>
  <c r="E56" i="7" s="1"/>
  <c r="L410" i="6"/>
  <c r="K410" i="6"/>
  <c r="L402" i="6"/>
  <c r="F406" i="6"/>
  <c r="L406" i="6" s="1"/>
  <c r="E403" i="6"/>
  <c r="K403" i="6" s="1"/>
  <c r="L396" i="6"/>
  <c r="L395" i="6"/>
  <c r="E391" i="6"/>
  <c r="F379" i="6"/>
  <c r="L379" i="6" s="1"/>
  <c r="L372" i="6"/>
  <c r="F373" i="6"/>
  <c r="L373" i="6" s="1"/>
  <c r="K373" i="6"/>
  <c r="L364" i="6"/>
  <c r="L363" i="6"/>
  <c r="F359" i="6"/>
  <c r="L359" i="6" s="1"/>
  <c r="L358" i="6"/>
  <c r="L356" i="6"/>
  <c r="L355" i="6"/>
  <c r="F351" i="6"/>
  <c r="J346" i="6"/>
  <c r="G44" i="7" s="1"/>
  <c r="K344" i="6"/>
  <c r="L343" i="6"/>
  <c r="L335" i="6"/>
  <c r="L334" i="6"/>
  <c r="E336" i="6"/>
  <c r="K336" i="6" s="1"/>
  <c r="E337" i="6"/>
  <c r="K337" i="6" s="1"/>
  <c r="L328" i="6"/>
  <c r="F324" i="6"/>
  <c r="F325" i="6" s="1"/>
  <c r="K324" i="6"/>
  <c r="H325" i="6"/>
  <c r="F41" i="7" s="1"/>
  <c r="L322" i="6"/>
  <c r="L317" i="6"/>
  <c r="L315" i="6"/>
  <c r="L314" i="6"/>
  <c r="L309" i="6"/>
  <c r="L300" i="6"/>
  <c r="L299" i="6"/>
  <c r="L298" i="6"/>
  <c r="L296" i="6"/>
  <c r="L289" i="6"/>
  <c r="L287" i="6"/>
  <c r="L278" i="6"/>
  <c r="L277" i="6"/>
  <c r="E280" i="6"/>
  <c r="K280" i="6" s="1"/>
  <c r="L269" i="6"/>
  <c r="L268" i="6"/>
  <c r="E270" i="6"/>
  <c r="K270" i="6" s="1"/>
  <c r="L263" i="6"/>
  <c r="L262" i="6"/>
  <c r="F259" i="6"/>
  <c r="L258" i="6"/>
  <c r="L256" i="6"/>
  <c r="L250" i="6"/>
  <c r="K246" i="6"/>
  <c r="F246" i="6"/>
  <c r="F247" i="6" s="1"/>
  <c r="E31" i="7" s="1"/>
  <c r="L245" i="6"/>
  <c r="H247" i="6"/>
  <c r="F31" i="7" s="1"/>
  <c r="J247" i="6"/>
  <c r="G31" i="7" s="1"/>
  <c r="L238" i="6"/>
  <c r="F240" i="6"/>
  <c r="L240" i="6" s="1"/>
  <c r="H235" i="6"/>
  <c r="F29" i="7" s="1"/>
  <c r="L232" i="6"/>
  <c r="F228" i="6"/>
  <c r="L228" i="6" s="1"/>
  <c r="L218" i="6"/>
  <c r="K212" i="6"/>
  <c r="L208" i="6"/>
  <c r="L201" i="6"/>
  <c r="L200" i="6"/>
  <c r="L193" i="6"/>
  <c r="L192" i="6"/>
  <c r="F182" i="6"/>
  <c r="L182" i="6" s="1"/>
  <c r="L180" i="6"/>
  <c r="H183" i="6"/>
  <c r="F22" i="7" s="1"/>
  <c r="L174" i="6"/>
  <c r="K169" i="6"/>
  <c r="K170" i="6"/>
  <c r="E168" i="6"/>
  <c r="K168" i="6" s="1"/>
  <c r="H163" i="6"/>
  <c r="F19" i="7" s="1"/>
  <c r="L159" i="6"/>
  <c r="K158" i="6"/>
  <c r="L158" i="6"/>
  <c r="K152" i="6"/>
  <c r="F152" i="6"/>
  <c r="F153" i="6" s="1"/>
  <c r="L151" i="6"/>
  <c r="L145" i="6"/>
  <c r="L140" i="6"/>
  <c r="E142" i="6"/>
  <c r="K142" i="6" s="1"/>
  <c r="L132" i="6"/>
  <c r="L131" i="6"/>
  <c r="E134" i="6"/>
  <c r="K134" i="6" s="1"/>
  <c r="F127" i="6"/>
  <c r="L127" i="6" s="1"/>
  <c r="L123" i="6"/>
  <c r="L122" i="6"/>
  <c r="H128" i="6"/>
  <c r="F15" i="7" s="1"/>
  <c r="F125" i="6"/>
  <c r="L118" i="6"/>
  <c r="L117" i="6"/>
  <c r="L116" i="6"/>
  <c r="L115" i="6"/>
  <c r="L114" i="6"/>
  <c r="L113" i="6"/>
  <c r="L111" i="6"/>
  <c r="L110" i="6"/>
  <c r="L109" i="6"/>
  <c r="L107" i="6"/>
  <c r="L106" i="6"/>
  <c r="L105" i="6"/>
  <c r="L104" i="6"/>
  <c r="L95" i="6"/>
  <c r="L94" i="6"/>
  <c r="F97" i="6"/>
  <c r="F83" i="6"/>
  <c r="L83" i="6" s="1"/>
  <c r="L81" i="6"/>
  <c r="L73" i="6"/>
  <c r="L72" i="6"/>
  <c r="H78" i="6"/>
  <c r="F10" i="7" s="1"/>
  <c r="L68" i="6"/>
  <c r="L66" i="6"/>
  <c r="L65" i="6"/>
  <c r="L60" i="6"/>
  <c r="L59" i="6"/>
  <c r="L58" i="6"/>
  <c r="L54" i="6"/>
  <c r="L43" i="6"/>
  <c r="L42" i="6"/>
  <c r="L41" i="6"/>
  <c r="L40" i="6"/>
  <c r="L31" i="6"/>
  <c r="L30" i="6"/>
  <c r="E33" i="6"/>
  <c r="K33" i="6" s="1"/>
  <c r="H27" i="6"/>
  <c r="F6" i="7" s="1"/>
  <c r="L23" i="6"/>
  <c r="L16" i="6"/>
  <c r="L17" i="6"/>
  <c r="H12" i="6"/>
  <c r="F4" i="7" s="1"/>
  <c r="L6" i="6"/>
  <c r="L5" i="6"/>
  <c r="F8" i="6"/>
  <c r="L8" i="6" s="1"/>
  <c r="K696" i="6"/>
  <c r="F92" i="7"/>
  <c r="L663" i="6"/>
  <c r="K656" i="6"/>
  <c r="K616" i="6"/>
  <c r="F608" i="6"/>
  <c r="K599" i="6"/>
  <c r="F591" i="6"/>
  <c r="L591" i="6" s="1"/>
  <c r="F590" i="6"/>
  <c r="F582" i="6"/>
  <c r="F574" i="6"/>
  <c r="F543" i="6"/>
  <c r="L543" i="6" s="1"/>
  <c r="K542" i="6"/>
  <c r="K536" i="6"/>
  <c r="F528" i="6"/>
  <c r="G66" i="7"/>
  <c r="K427" i="6"/>
  <c r="K413" i="6"/>
  <c r="K404" i="6"/>
  <c r="F50" i="7"/>
  <c r="K365" i="6"/>
  <c r="F357" i="6"/>
  <c r="F316" i="6"/>
  <c r="F308" i="6"/>
  <c r="K279" i="6"/>
  <c r="K271" i="6"/>
  <c r="K234" i="6"/>
  <c r="F226" i="6"/>
  <c r="K218" i="6"/>
  <c r="K210" i="6"/>
  <c r="K202" i="6"/>
  <c r="F195" i="6"/>
  <c r="L195" i="6" s="1"/>
  <c r="F194" i="6"/>
  <c r="K143" i="6"/>
  <c r="F133" i="6"/>
  <c r="K96" i="6"/>
  <c r="F74" i="6"/>
  <c r="K32" i="6"/>
  <c r="K26" i="6"/>
  <c r="K17" i="6"/>
  <c r="F7" i="6"/>
  <c r="E658" i="6" l="1"/>
  <c r="H659" i="6"/>
  <c r="F87" i="7" s="1"/>
  <c r="H274" i="6"/>
  <c r="F35" i="7" s="1"/>
  <c r="E273" i="6"/>
  <c r="F273" i="6" s="1"/>
  <c r="L273" i="6" s="1"/>
  <c r="L281" i="6"/>
  <c r="L44" i="6"/>
  <c r="F203" i="6"/>
  <c r="F205" i="6" s="1"/>
  <c r="L384" i="6"/>
  <c r="J414" i="6"/>
  <c r="L414" i="6" s="1"/>
  <c r="L35" i="6"/>
  <c r="F553" i="6"/>
  <c r="E74" i="7" s="1"/>
  <c r="F330" i="6"/>
  <c r="K451" i="6"/>
  <c r="F302" i="6"/>
  <c r="L302" i="6" s="1"/>
  <c r="H553" i="6"/>
  <c r="F74" i="7" s="1"/>
  <c r="F667" i="6"/>
  <c r="E89" i="7" s="1"/>
  <c r="J639" i="6"/>
  <c r="G85" i="7" s="1"/>
  <c r="J281" i="6"/>
  <c r="J283" i="6" s="1"/>
  <c r="G36" i="7" s="1"/>
  <c r="K602" i="6"/>
  <c r="H303" i="6"/>
  <c r="F38" i="7" s="1"/>
  <c r="K552" i="6"/>
  <c r="L175" i="6"/>
  <c r="K638" i="6"/>
  <c r="F76" i="6"/>
  <c r="H603" i="6"/>
  <c r="F80" i="7" s="1"/>
  <c r="L62" i="6"/>
  <c r="F346" i="6"/>
  <c r="L567" i="6"/>
  <c r="K176" i="6"/>
  <c r="F310" i="6"/>
  <c r="L310" i="6" s="1"/>
  <c r="L637" i="6"/>
  <c r="F397" i="6"/>
  <c r="L397" i="6" s="1"/>
  <c r="H414" i="6"/>
  <c r="E415" i="6" s="1"/>
  <c r="F415" i="6" s="1"/>
  <c r="L415" i="6" s="1"/>
  <c r="K345" i="6"/>
  <c r="H452" i="6"/>
  <c r="F59" i="7" s="1"/>
  <c r="I21" i="9"/>
  <c r="J21" i="9" s="1"/>
  <c r="I20" i="9" s="1"/>
  <c r="J20" i="9" s="1"/>
  <c r="L45" i="6"/>
  <c r="L100" i="6"/>
  <c r="L25" i="6"/>
  <c r="F452" i="6"/>
  <c r="E59" i="7" s="1"/>
  <c r="K100" i="6"/>
  <c r="K282" i="6"/>
  <c r="F706" i="6"/>
  <c r="H482" i="6"/>
  <c r="F64" i="7" s="1"/>
  <c r="E385" i="6"/>
  <c r="K385" i="6" s="1"/>
  <c r="F272" i="6"/>
  <c r="L272" i="6" s="1"/>
  <c r="F657" i="6"/>
  <c r="H407" i="6"/>
  <c r="F53" i="7" s="1"/>
  <c r="H177" i="6"/>
  <c r="F21" i="7" s="1"/>
  <c r="K481" i="6"/>
  <c r="H221" i="6"/>
  <c r="F27" i="7" s="1"/>
  <c r="J444" i="6"/>
  <c r="G20" i="9"/>
  <c r="H20" i="9" s="1"/>
  <c r="H422" i="6"/>
  <c r="F55" i="7" s="1"/>
  <c r="L420" i="6"/>
  <c r="L551" i="6"/>
  <c r="L227" i="6"/>
  <c r="H37" i="6"/>
  <c r="F7" i="7" s="1"/>
  <c r="L76" i="6"/>
  <c r="L301" i="6"/>
  <c r="L169" i="6"/>
  <c r="L529" i="6"/>
  <c r="L89" i="6"/>
  <c r="L239" i="6"/>
  <c r="K530" i="6"/>
  <c r="J569" i="6"/>
  <c r="G76" i="7" s="1"/>
  <c r="J416" i="6"/>
  <c r="G54" i="7" s="1"/>
  <c r="L521" i="6"/>
  <c r="L566" i="6"/>
  <c r="J547" i="6"/>
  <c r="G73" i="7" s="1"/>
  <c r="L257" i="6"/>
  <c r="L614" i="6"/>
  <c r="H531" i="6"/>
  <c r="F71" i="7" s="1"/>
  <c r="L259" i="6"/>
  <c r="E162" i="6"/>
  <c r="F412" i="6"/>
  <c r="L329" i="6"/>
  <c r="J27" i="6"/>
  <c r="G6" i="7" s="1"/>
  <c r="H213" i="6"/>
  <c r="F26" i="7" s="1"/>
  <c r="H331" i="6"/>
  <c r="F42" i="7" s="1"/>
  <c r="K558" i="6"/>
  <c r="F677" i="6"/>
  <c r="E91" i="7" s="1"/>
  <c r="E53" i="6" s="1"/>
  <c r="H559" i="6"/>
  <c r="F75" i="7" s="1"/>
  <c r="E36" i="6"/>
  <c r="F36" i="6" s="1"/>
  <c r="L36" i="6" s="1"/>
  <c r="F499" i="6"/>
  <c r="L499" i="6" s="1"/>
  <c r="K676" i="6"/>
  <c r="F682" i="6"/>
  <c r="L682" i="6" s="1"/>
  <c r="L498" i="6"/>
  <c r="H65" i="7"/>
  <c r="L187" i="6"/>
  <c r="E90" i="6"/>
  <c r="F90" i="6" s="1"/>
  <c r="K339" i="6"/>
  <c r="L161" i="6"/>
  <c r="L366" i="6"/>
  <c r="L233" i="6"/>
  <c r="L428" i="6"/>
  <c r="L18" i="6"/>
  <c r="F559" i="6"/>
  <c r="J47" i="6"/>
  <c r="G8" i="7" s="1"/>
  <c r="E77" i="6"/>
  <c r="F77" i="6" s="1"/>
  <c r="L77" i="6" s="1"/>
  <c r="H677" i="6"/>
  <c r="F91" i="7" s="1"/>
  <c r="G53" i="6" s="1"/>
  <c r="H53" i="6" s="1"/>
  <c r="H69" i="6" s="1"/>
  <c r="F9" i="7" s="1"/>
  <c r="H283" i="6"/>
  <c r="F36" i="7" s="1"/>
  <c r="H340" i="6"/>
  <c r="F43" i="7" s="1"/>
  <c r="H500" i="6"/>
  <c r="F67" i="7" s="1"/>
  <c r="L211" i="6"/>
  <c r="L609" i="6"/>
  <c r="F650" i="6"/>
  <c r="L650" i="6" s="1"/>
  <c r="L338" i="6"/>
  <c r="H311" i="6"/>
  <c r="F39" i="7" s="1"/>
  <c r="L82" i="6"/>
  <c r="J119" i="6"/>
  <c r="G14" i="7" s="1"/>
  <c r="L450" i="6"/>
  <c r="F235" i="6"/>
  <c r="E29" i="7" s="1"/>
  <c r="H29" i="7" s="1"/>
  <c r="E46" i="6"/>
  <c r="F46" i="6" s="1"/>
  <c r="E188" i="6"/>
  <c r="H189" i="6"/>
  <c r="F23" i="7" s="1"/>
  <c r="L291" i="6"/>
  <c r="K429" i="6"/>
  <c r="K457" i="6"/>
  <c r="L504" i="6"/>
  <c r="I53" i="6"/>
  <c r="J53" i="6" s="1"/>
  <c r="J69" i="6" s="1"/>
  <c r="G9" i="7" s="1"/>
  <c r="K19" i="6"/>
  <c r="H47" i="6"/>
  <c r="F8" i="7" s="1"/>
  <c r="F177" i="6"/>
  <c r="E21" i="7" s="1"/>
  <c r="H205" i="6"/>
  <c r="F25" i="7" s="1"/>
  <c r="F241" i="6"/>
  <c r="E30" i="7" s="1"/>
  <c r="F458" i="6"/>
  <c r="E60" i="7" s="1"/>
  <c r="F293" i="6"/>
  <c r="E37" i="7" s="1"/>
  <c r="F50" i="6"/>
  <c r="L50" i="6" s="1"/>
  <c r="K50" i="6"/>
  <c r="J189" i="6"/>
  <c r="G23" i="7" s="1"/>
  <c r="K204" i="6"/>
  <c r="J20" i="6"/>
  <c r="G5" i="7" s="1"/>
  <c r="L203" i="6"/>
  <c r="L456" i="6"/>
  <c r="L575" i="6"/>
  <c r="L675" i="6"/>
  <c r="L251" i="6"/>
  <c r="L135" i="6"/>
  <c r="L390" i="6"/>
  <c r="H368" i="6"/>
  <c r="F47" i="7" s="1"/>
  <c r="K367" i="6"/>
  <c r="H293" i="6"/>
  <c r="F37" i="7" s="1"/>
  <c r="H458" i="6"/>
  <c r="F60" i="7" s="1"/>
  <c r="F221" i="6"/>
  <c r="E27" i="7" s="1"/>
  <c r="H27" i="7" s="1"/>
  <c r="H430" i="6"/>
  <c r="F56" i="7" s="1"/>
  <c r="L209" i="6"/>
  <c r="H476" i="6"/>
  <c r="F63" i="7" s="1"/>
  <c r="L196" i="6"/>
  <c r="F368" i="6"/>
  <c r="E47" i="7" s="1"/>
  <c r="F183" i="6"/>
  <c r="E22" i="7" s="1"/>
  <c r="L557" i="6"/>
  <c r="K220" i="6"/>
  <c r="K292" i="6"/>
  <c r="F380" i="6"/>
  <c r="E49" i="7" s="1"/>
  <c r="F20" i="6"/>
  <c r="E5" i="7" s="1"/>
  <c r="H398" i="6"/>
  <c r="F52" i="7" s="1"/>
  <c r="F691" i="6"/>
  <c r="E93" i="7" s="1"/>
  <c r="F136" i="6"/>
  <c r="L136" i="6" s="1"/>
  <c r="H137" i="6"/>
  <c r="F16" i="7" s="1"/>
  <c r="G18" i="9"/>
  <c r="H18" i="9" s="1"/>
  <c r="E576" i="6"/>
  <c r="F576" i="6" s="1"/>
  <c r="L576" i="6" s="1"/>
  <c r="J523" i="6"/>
  <c r="G70" i="7" s="1"/>
  <c r="K46" i="6"/>
  <c r="L344" i="6"/>
  <c r="H416" i="6"/>
  <c r="F54" i="7" s="1"/>
  <c r="L462" i="6"/>
  <c r="L540" i="6"/>
  <c r="K415" i="6"/>
  <c r="L480" i="6"/>
  <c r="L513" i="6"/>
  <c r="F385" i="6"/>
  <c r="F386" i="6" s="1"/>
  <c r="H346" i="6"/>
  <c r="F44" i="7" s="1"/>
  <c r="L24" i="6"/>
  <c r="L153" i="6"/>
  <c r="F398" i="6"/>
  <c r="E52" i="7" s="1"/>
  <c r="L126" i="6"/>
  <c r="L325" i="6"/>
  <c r="F197" i="6"/>
  <c r="E24" i="7" s="1"/>
  <c r="F625" i="6"/>
  <c r="E83" i="7" s="1"/>
  <c r="J707" i="6"/>
  <c r="G95" i="7" s="1"/>
  <c r="I630" i="6" s="1"/>
  <c r="J630" i="6" s="1"/>
  <c r="J633" i="6" s="1"/>
  <c r="G84" i="7" s="1"/>
  <c r="I18" i="9" s="1"/>
  <c r="J18" i="9" s="1"/>
  <c r="L481" i="6"/>
  <c r="F482" i="6"/>
  <c r="E64" i="7" s="1"/>
  <c r="F374" i="6"/>
  <c r="E48" i="7" s="1"/>
  <c r="F500" i="6"/>
  <c r="E67" i="7" s="1"/>
  <c r="L324" i="6"/>
  <c r="K568" i="6"/>
  <c r="F27" i="6"/>
  <c r="E6" i="7" s="1"/>
  <c r="L246" i="6"/>
  <c r="L452" i="6"/>
  <c r="H253" i="6"/>
  <c r="F32" i="7" s="1"/>
  <c r="H515" i="6"/>
  <c r="F69" i="7" s="1"/>
  <c r="L88" i="6"/>
  <c r="L166" i="6"/>
  <c r="H56" i="7"/>
  <c r="H319" i="6"/>
  <c r="F40" i="7" s="1"/>
  <c r="E318" i="6"/>
  <c r="H61" i="7"/>
  <c r="F124" i="6"/>
  <c r="L124" i="6" s="1"/>
  <c r="K124" i="6"/>
  <c r="K146" i="6"/>
  <c r="H91" i="6"/>
  <c r="F12" i="7" s="1"/>
  <c r="L494" i="6"/>
  <c r="F11" i="6"/>
  <c r="L11" i="6" s="1"/>
  <c r="L152" i="6"/>
  <c r="L177" i="6"/>
  <c r="H82" i="7"/>
  <c r="G25" i="9"/>
  <c r="H25" i="9" s="1"/>
  <c r="G23" i="9" s="1"/>
  <c r="H23" i="9" s="1"/>
  <c r="I23" i="9"/>
  <c r="J23" i="9" s="1"/>
  <c r="K27" i="9"/>
  <c r="K29" i="9"/>
  <c r="F29" i="9"/>
  <c r="L29" i="9" s="1"/>
  <c r="T29" i="9" s="1"/>
  <c r="E32" i="10" s="1"/>
  <c r="F28" i="9"/>
  <c r="L28" i="9" s="1"/>
  <c r="E31" i="10" s="1"/>
  <c r="K28" i="9"/>
  <c r="L27" i="9"/>
  <c r="E30" i="10" s="1"/>
  <c r="L24" i="9"/>
  <c r="K24" i="9"/>
  <c r="F19" i="9"/>
  <c r="L19" i="9" s="1"/>
  <c r="K19" i="9"/>
  <c r="L657" i="6"/>
  <c r="H85" i="7"/>
  <c r="K576" i="6"/>
  <c r="F546" i="6"/>
  <c r="L546" i="6" s="1"/>
  <c r="F514" i="6"/>
  <c r="L514" i="6" s="1"/>
  <c r="H68" i="7"/>
  <c r="H66" i="7"/>
  <c r="L488" i="6"/>
  <c r="F475" i="6"/>
  <c r="K475" i="6"/>
  <c r="F422" i="6"/>
  <c r="E55" i="7" s="1"/>
  <c r="K421" i="6"/>
  <c r="F264" i="6"/>
  <c r="F265" i="6" s="1"/>
  <c r="E34" i="7" s="1"/>
  <c r="K252" i="6"/>
  <c r="F252" i="6"/>
  <c r="F84" i="6"/>
  <c r="E11" i="7" s="1"/>
  <c r="K77" i="6"/>
  <c r="F632" i="6"/>
  <c r="L632" i="6" s="1"/>
  <c r="L706" i="6"/>
  <c r="F707" i="6"/>
  <c r="H94" i="7"/>
  <c r="L698" i="6"/>
  <c r="H93" i="7"/>
  <c r="L691" i="6"/>
  <c r="F684" i="6"/>
  <c r="F102" i="6"/>
  <c r="L102" i="6" s="1"/>
  <c r="K102" i="6"/>
  <c r="E101" i="6"/>
  <c r="E51" i="6"/>
  <c r="H89" i="7"/>
  <c r="L639" i="6"/>
  <c r="L625" i="6"/>
  <c r="L619" i="6"/>
  <c r="L608" i="6"/>
  <c r="F611" i="6"/>
  <c r="F600" i="6"/>
  <c r="H594" i="6"/>
  <c r="F79" i="7" s="1"/>
  <c r="E593" i="6"/>
  <c r="L592" i="6"/>
  <c r="L590" i="6"/>
  <c r="L582" i="6"/>
  <c r="F585" i="6"/>
  <c r="L574" i="6"/>
  <c r="F577" i="6"/>
  <c r="F564" i="6"/>
  <c r="K565" i="6"/>
  <c r="E75" i="7"/>
  <c r="H74" i="7"/>
  <c r="L553" i="6"/>
  <c r="H72" i="7"/>
  <c r="L537" i="6"/>
  <c r="L528" i="6"/>
  <c r="F531" i="6"/>
  <c r="K520" i="6"/>
  <c r="F520" i="6"/>
  <c r="K511" i="6"/>
  <c r="F512" i="6"/>
  <c r="L512" i="6" s="1"/>
  <c r="L506" i="6"/>
  <c r="L469" i="6"/>
  <c r="F470" i="6"/>
  <c r="L464" i="6"/>
  <c r="L458" i="6"/>
  <c r="H59" i="7"/>
  <c r="K445" i="6"/>
  <c r="K443" i="6"/>
  <c r="F446" i="6"/>
  <c r="F435" i="6"/>
  <c r="L430" i="6"/>
  <c r="L412" i="6"/>
  <c r="F416" i="6"/>
  <c r="F403" i="6"/>
  <c r="F391" i="6"/>
  <c r="K391" i="6"/>
  <c r="L385" i="6"/>
  <c r="L380" i="6"/>
  <c r="L357" i="6"/>
  <c r="F360" i="6"/>
  <c r="L351" i="6"/>
  <c r="F352" i="6"/>
  <c r="E44" i="7"/>
  <c r="F337" i="6"/>
  <c r="L337" i="6" s="1"/>
  <c r="F336" i="6"/>
  <c r="L330" i="6"/>
  <c r="F331" i="6"/>
  <c r="E41" i="7"/>
  <c r="L316" i="6"/>
  <c r="L308" i="6"/>
  <c r="F311" i="6"/>
  <c r="F280" i="6"/>
  <c r="L280" i="6" s="1"/>
  <c r="K273" i="6"/>
  <c r="F270" i="6"/>
  <c r="L270" i="6" s="1"/>
  <c r="E33" i="7"/>
  <c r="H31" i="7"/>
  <c r="L247" i="6"/>
  <c r="L226" i="6"/>
  <c r="F229" i="6"/>
  <c r="L213" i="6"/>
  <c r="E26" i="7"/>
  <c r="E25" i="7"/>
  <c r="L194" i="6"/>
  <c r="H21" i="7"/>
  <c r="F168" i="6"/>
  <c r="E18" i="7"/>
  <c r="F142" i="6"/>
  <c r="L133" i="6"/>
  <c r="F134" i="6"/>
  <c r="L134" i="6" s="1"/>
  <c r="L125" i="6"/>
  <c r="L97" i="6"/>
  <c r="E13" i="7"/>
  <c r="L74" i="6"/>
  <c r="F78" i="6"/>
  <c r="F33" i="6"/>
  <c r="H5" i="7"/>
  <c r="L20" i="6"/>
  <c r="L7" i="6"/>
  <c r="K36" i="6" l="1"/>
  <c r="L398" i="6"/>
  <c r="F303" i="6"/>
  <c r="E38" i="7" s="1"/>
  <c r="J446" i="6"/>
  <c r="G58" i="7" s="1"/>
  <c r="L444" i="6"/>
  <c r="E103" i="6"/>
  <c r="H64" i="7"/>
  <c r="L667" i="6"/>
  <c r="F658" i="6"/>
  <c r="L658" i="6" s="1"/>
  <c r="K658" i="6"/>
  <c r="K90" i="6"/>
  <c r="H37" i="7"/>
  <c r="F651" i="6"/>
  <c r="H6" i="7"/>
  <c r="L183" i="6"/>
  <c r="L293" i="6"/>
  <c r="G15" i="9"/>
  <c r="H15" i="9" s="1"/>
  <c r="L27" i="6"/>
  <c r="H22" i="7"/>
  <c r="L205" i="6"/>
  <c r="L559" i="6"/>
  <c r="L221" i="6"/>
  <c r="K162" i="6"/>
  <c r="F162" i="6"/>
  <c r="L346" i="6"/>
  <c r="E22" i="9"/>
  <c r="L241" i="6"/>
  <c r="H30" i="7"/>
  <c r="F547" i="6"/>
  <c r="E73" i="7" s="1"/>
  <c r="L677" i="6"/>
  <c r="L368" i="6"/>
  <c r="I10" i="9"/>
  <c r="J10" i="9" s="1"/>
  <c r="H91" i="7"/>
  <c r="H49" i="7"/>
  <c r="L235" i="6"/>
  <c r="G103" i="6"/>
  <c r="H103" i="6" s="1"/>
  <c r="H119" i="6" s="1"/>
  <c r="F14" i="7" s="1"/>
  <c r="G7" i="9" s="1"/>
  <c r="H7" i="9" s="1"/>
  <c r="I8" i="9"/>
  <c r="J8" i="9" s="1"/>
  <c r="G11" i="9"/>
  <c r="H11" i="9" s="1"/>
  <c r="K188" i="6"/>
  <c r="F188" i="6"/>
  <c r="L197" i="6"/>
  <c r="L482" i="6"/>
  <c r="I12" i="9"/>
  <c r="J12" i="9" s="1"/>
  <c r="L46" i="6"/>
  <c r="F47" i="6"/>
  <c r="I11" i="9"/>
  <c r="J11" i="9" s="1"/>
  <c r="H60" i="7"/>
  <c r="L500" i="6"/>
  <c r="G8" i="9"/>
  <c r="H8" i="9" s="1"/>
  <c r="H47" i="7"/>
  <c r="F12" i="6"/>
  <c r="E4" i="7" s="1"/>
  <c r="H83" i="7"/>
  <c r="F137" i="6"/>
  <c r="E16" i="7" s="1"/>
  <c r="H24" i="7"/>
  <c r="I7" i="9"/>
  <c r="J7" i="9" s="1"/>
  <c r="I17" i="9"/>
  <c r="J17" i="9" s="1"/>
  <c r="H26" i="7"/>
  <c r="H33" i="7"/>
  <c r="H55" i="7"/>
  <c r="H34" i="7"/>
  <c r="K318" i="6"/>
  <c r="F318" i="6"/>
  <c r="L264" i="6"/>
  <c r="H75" i="7"/>
  <c r="G17" i="9"/>
  <c r="H17" i="9" s="1"/>
  <c r="H52" i="7"/>
  <c r="F274" i="6"/>
  <c r="L274" i="6" s="1"/>
  <c r="H44" i="7"/>
  <c r="H18" i="7"/>
  <c r="H38" i="7"/>
  <c r="L90" i="6"/>
  <c r="F91" i="6"/>
  <c r="H67" i="7"/>
  <c r="H13" i="7"/>
  <c r="F283" i="6"/>
  <c r="E36" i="7" s="1"/>
  <c r="L422" i="6"/>
  <c r="F128" i="6"/>
  <c r="L128" i="6" s="1"/>
  <c r="H25" i="7"/>
  <c r="L374" i="6"/>
  <c r="H11" i="7"/>
  <c r="H41" i="7"/>
  <c r="H48" i="7"/>
  <c r="E26" i="9"/>
  <c r="K26" i="9" s="1"/>
  <c r="E21" i="9"/>
  <c r="K21" i="9" s="1"/>
  <c r="E25" i="9"/>
  <c r="F25" i="9" s="1"/>
  <c r="F515" i="6"/>
  <c r="L515" i="6" s="1"/>
  <c r="L475" i="6"/>
  <c r="F476" i="6"/>
  <c r="L303" i="6"/>
  <c r="L265" i="6"/>
  <c r="L252" i="6"/>
  <c r="F253" i="6"/>
  <c r="L84" i="6"/>
  <c r="E95" i="7"/>
  <c r="L707" i="6"/>
  <c r="E92" i="7"/>
  <c r="H92" i="7" s="1"/>
  <c r="L684" i="6"/>
  <c r="F103" i="6"/>
  <c r="L103" i="6" s="1"/>
  <c r="K103" i="6"/>
  <c r="K53" i="6"/>
  <c r="F53" i="6"/>
  <c r="L53" i="6" s="1"/>
  <c r="F51" i="6"/>
  <c r="K51" i="6"/>
  <c r="K101" i="6"/>
  <c r="F101" i="6"/>
  <c r="E81" i="7"/>
  <c r="L611" i="6"/>
  <c r="L600" i="6"/>
  <c r="F603" i="6"/>
  <c r="F593" i="6"/>
  <c r="K593" i="6"/>
  <c r="E78" i="7"/>
  <c r="L585" i="6"/>
  <c r="E77" i="7"/>
  <c r="L577" i="6"/>
  <c r="L564" i="6"/>
  <c r="F569" i="6"/>
  <c r="L547" i="6"/>
  <c r="L531" i="6"/>
  <c r="E71" i="7"/>
  <c r="L520" i="6"/>
  <c r="F523" i="6"/>
  <c r="L470" i="6"/>
  <c r="E62" i="7"/>
  <c r="E58" i="7"/>
  <c r="L435" i="6"/>
  <c r="F438" i="6"/>
  <c r="E54" i="7"/>
  <c r="L416" i="6"/>
  <c r="L403" i="6"/>
  <c r="F407" i="6"/>
  <c r="L391" i="6"/>
  <c r="F392" i="6"/>
  <c r="E50" i="7"/>
  <c r="L386" i="6"/>
  <c r="E46" i="7"/>
  <c r="L360" i="6"/>
  <c r="L352" i="6"/>
  <c r="E45" i="7"/>
  <c r="L336" i="6"/>
  <c r="F340" i="6"/>
  <c r="L331" i="6"/>
  <c r="E42" i="7"/>
  <c r="E39" i="7"/>
  <c r="L311" i="6"/>
  <c r="E28" i="7"/>
  <c r="L229" i="6"/>
  <c r="L168" i="6"/>
  <c r="F171" i="6"/>
  <c r="L142" i="6"/>
  <c r="F147" i="6"/>
  <c r="L78" i="6"/>
  <c r="E10" i="7"/>
  <c r="L33" i="6"/>
  <c r="F37" i="6"/>
  <c r="F659" i="6" l="1"/>
  <c r="I15" i="9"/>
  <c r="J15" i="9" s="1"/>
  <c r="L446" i="6"/>
  <c r="I16" i="9"/>
  <c r="J16" i="9" s="1"/>
  <c r="G10" i="9"/>
  <c r="H10" i="9" s="1"/>
  <c r="I14" i="9"/>
  <c r="J14" i="9" s="1"/>
  <c r="G14" i="9"/>
  <c r="H14" i="9" s="1"/>
  <c r="F22" i="9"/>
  <c r="L22" i="9" s="1"/>
  <c r="K22" i="9"/>
  <c r="I13" i="9"/>
  <c r="J13" i="9" s="1"/>
  <c r="L162" i="6"/>
  <c r="F163" i="6"/>
  <c r="E86" i="7"/>
  <c r="L651" i="6"/>
  <c r="E35" i="7"/>
  <c r="L283" i="6"/>
  <c r="G16" i="9"/>
  <c r="H16" i="9" s="1"/>
  <c r="I9" i="9"/>
  <c r="J9" i="9" s="1"/>
  <c r="L188" i="6"/>
  <c r="F189" i="6"/>
  <c r="L12" i="6"/>
  <c r="L137" i="6"/>
  <c r="L47" i="6"/>
  <c r="E8" i="7"/>
  <c r="H50" i="7"/>
  <c r="H10" i="7"/>
  <c r="H39" i="7"/>
  <c r="H16" i="7"/>
  <c r="H54" i="7"/>
  <c r="H77" i="7"/>
  <c r="H42" i="7"/>
  <c r="H78" i="7"/>
  <c r="E15" i="7"/>
  <c r="H58" i="7"/>
  <c r="H36" i="7"/>
  <c r="H45" i="7"/>
  <c r="H62" i="7"/>
  <c r="H73" i="7"/>
  <c r="H4" i="7"/>
  <c r="H28" i="7"/>
  <c r="H46" i="7"/>
  <c r="H81" i="7"/>
  <c r="E12" i="7"/>
  <c r="L91" i="6"/>
  <c r="H35" i="7"/>
  <c r="H71" i="7"/>
  <c r="L318" i="6"/>
  <c r="F319" i="6"/>
  <c r="F26" i="9"/>
  <c r="L26" i="9" s="1"/>
  <c r="T26" i="9" s="1"/>
  <c r="F21" i="9"/>
  <c r="K25" i="9"/>
  <c r="L25" i="9"/>
  <c r="E23" i="9"/>
  <c r="E69" i="7"/>
  <c r="L476" i="6"/>
  <c r="E63" i="7"/>
  <c r="E32" i="7"/>
  <c r="L253" i="6"/>
  <c r="E630" i="6"/>
  <c r="H95" i="7"/>
  <c r="L101" i="6"/>
  <c r="F119" i="6"/>
  <c r="L51" i="6"/>
  <c r="F69" i="6"/>
  <c r="E80" i="7"/>
  <c r="L603" i="6"/>
  <c r="L593" i="6"/>
  <c r="F594" i="6"/>
  <c r="E76" i="7"/>
  <c r="L569" i="6"/>
  <c r="L523" i="6"/>
  <c r="E70" i="7"/>
  <c r="E57" i="7"/>
  <c r="L438" i="6"/>
  <c r="E53" i="7"/>
  <c r="L407" i="6"/>
  <c r="E51" i="7"/>
  <c r="L392" i="6"/>
  <c r="E43" i="7"/>
  <c r="L340" i="6"/>
  <c r="E20" i="7"/>
  <c r="L171" i="6"/>
  <c r="E17" i="7"/>
  <c r="L147" i="6"/>
  <c r="E7" i="7"/>
  <c r="L37" i="6"/>
  <c r="G13" i="9" l="1"/>
  <c r="H13" i="9" s="1"/>
  <c r="E87" i="7"/>
  <c r="L659" i="6"/>
  <c r="L21" i="9"/>
  <c r="E20" i="9"/>
  <c r="F20" i="9" s="1"/>
  <c r="L20" i="9" s="1"/>
  <c r="T20" i="9" s="1"/>
  <c r="E27" i="10" s="1"/>
  <c r="L163" i="6"/>
  <c r="E19" i="7"/>
  <c r="I6" i="9"/>
  <c r="J6" i="9" s="1"/>
  <c r="I5" i="9" s="1"/>
  <c r="J5" i="9" s="1"/>
  <c r="J50" i="9" s="1"/>
  <c r="H86" i="7"/>
  <c r="H8" i="7"/>
  <c r="G12" i="9"/>
  <c r="H12" i="9" s="1"/>
  <c r="G9" i="9" s="1"/>
  <c r="H9" i="9" s="1"/>
  <c r="G6" i="9" s="1"/>
  <c r="H6" i="9" s="1"/>
  <c r="G5" i="9" s="1"/>
  <c r="H5" i="9" s="1"/>
  <c r="L189" i="6"/>
  <c r="E23" i="7"/>
  <c r="H20" i="7"/>
  <c r="H80" i="7"/>
  <c r="H12" i="7"/>
  <c r="H15" i="7"/>
  <c r="H51" i="7"/>
  <c r="H53" i="7"/>
  <c r="H32" i="7"/>
  <c r="H63" i="7"/>
  <c r="E40" i="7"/>
  <c r="L319" i="6"/>
  <c r="H43" i="7"/>
  <c r="H70" i="7"/>
  <c r="H7" i="7"/>
  <c r="H57" i="7"/>
  <c r="H69" i="7"/>
  <c r="H76" i="7"/>
  <c r="H17" i="7"/>
  <c r="F23" i="9"/>
  <c r="L23" i="9" s="1"/>
  <c r="T23" i="9" s="1"/>
  <c r="E28" i="10" s="1"/>
  <c r="K23" i="9"/>
  <c r="F630" i="6"/>
  <c r="K630" i="6"/>
  <c r="E9" i="7"/>
  <c r="L69" i="6"/>
  <c r="E14" i="7"/>
  <c r="L119" i="6"/>
  <c r="E79" i="7"/>
  <c r="L594" i="6"/>
  <c r="H87" i="7" l="1"/>
  <c r="E11" i="10"/>
  <c r="H19" i="7"/>
  <c r="E8" i="10"/>
  <c r="H50" i="9"/>
  <c r="H23" i="7"/>
  <c r="H40" i="7"/>
  <c r="H14" i="7"/>
  <c r="H9" i="7"/>
  <c r="H79" i="7"/>
  <c r="K20" i="9"/>
  <c r="L630" i="6"/>
  <c r="F633" i="6"/>
  <c r="E15" i="10" l="1"/>
  <c r="E14" i="10"/>
  <c r="E18" i="10" s="1"/>
  <c r="E9" i="10"/>
  <c r="E10" i="10" s="1"/>
  <c r="E16" i="10"/>
  <c r="E14" i="9"/>
  <c r="E12" i="9"/>
  <c r="E15" i="9"/>
  <c r="E11" i="9"/>
  <c r="E10" i="9"/>
  <c r="E16" i="9"/>
  <c r="E84" i="7"/>
  <c r="L633" i="6"/>
  <c r="E12" i="10" l="1"/>
  <c r="E13" i="10"/>
  <c r="E7" i="9"/>
  <c r="F7" i="9" s="1"/>
  <c r="F11" i="9"/>
  <c r="L11" i="9" s="1"/>
  <c r="K11" i="9"/>
  <c r="F15" i="9"/>
  <c r="L15" i="9" s="1"/>
  <c r="K15" i="9"/>
  <c r="H84" i="7"/>
  <c r="F12" i="9"/>
  <c r="K12" i="9"/>
  <c r="F16" i="9"/>
  <c r="L16" i="9" s="1"/>
  <c r="K16" i="9"/>
  <c r="E17" i="9"/>
  <c r="F10" i="9"/>
  <c r="L10" i="9" s="1"/>
  <c r="K10" i="9"/>
  <c r="F14" i="9"/>
  <c r="K14" i="9"/>
  <c r="E8" i="9"/>
  <c r="K7" i="9" l="1"/>
  <c r="E13" i="9"/>
  <c r="E9" i="9"/>
  <c r="L12" i="9"/>
  <c r="F17" i="9"/>
  <c r="L17" i="9" s="1"/>
  <c r="K17" i="9"/>
  <c r="L7" i="9"/>
  <c r="L14" i="9"/>
  <c r="F8" i="9"/>
  <c r="L8" i="9" s="1"/>
  <c r="K8" i="9"/>
  <c r="F13" i="9" l="1"/>
  <c r="L13" i="9" s="1"/>
  <c r="K13" i="9"/>
  <c r="E18" i="9"/>
  <c r="F9" i="9"/>
  <c r="L9" i="9" s="1"/>
  <c r="K9" i="9"/>
  <c r="F18" i="9" l="1"/>
  <c r="L18" i="9" s="1"/>
  <c r="K18" i="9"/>
  <c r="E6" i="9" l="1"/>
  <c r="F6" i="9" s="1"/>
  <c r="K6" i="9" l="1"/>
  <c r="E5" i="9"/>
  <c r="L6" i="9"/>
  <c r="F5" i="9" l="1"/>
  <c r="K5" i="9"/>
  <c r="F50" i="9" l="1"/>
  <c r="E4" i="10"/>
  <c r="E7" i="10" s="1"/>
  <c r="L5" i="9"/>
  <c r="L50" i="9" s="1"/>
  <c r="E19" i="10" l="1"/>
  <c r="E20" i="10" l="1"/>
  <c r="E21" i="10" s="1"/>
  <c r="E22" i="10" s="1"/>
  <c r="E23" i="10" s="1"/>
  <c r="E24" i="10" s="1"/>
  <c r="E25" i="10" s="1"/>
  <c r="E26" i="10" s="1"/>
  <c r="E29" i="10" l="1"/>
  <c r="E33" i="10" l="1"/>
  <c r="F2" i="10" s="1"/>
</calcChain>
</file>

<file path=xl/sharedStrings.xml><?xml version="1.0" encoding="utf-8"?>
<sst xmlns="http://schemas.openxmlformats.org/spreadsheetml/2006/main" count="16937" uniqueCount="2321">
  <si>
    <t>공 종 별 집 계 표</t>
  </si>
  <si>
    <t>[ SDV보안평가지원센터전기공사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</si>
  <si>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</si>
  <si>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</si>
  <si>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</si>
  <si>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</si>
  <si>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</si>
  <si>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</si>
  <si>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</si>
  <si>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</si>
  <si>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</si>
  <si>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</si>
  <si>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</si>
  <si>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</si>
  <si>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</si>
  <si>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</si>
  <si>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</si>
  <si>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</si>
  <si>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</si>
  <si>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</si>
  <si>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</si>
  <si>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</si>
  <si>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</si>
  <si>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</si>
  <si>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</si>
  <si>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</si>
  <si>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</si>
  <si>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</si>
  <si>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</si>
  <si>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</si>
  <si>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</si>
  <si>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</si>
  <si>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</si>
  <si>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</si>
  <si>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</si>
  <si>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</si>
  <si>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</si>
  <si>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</si>
  <si>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</si>
  <si>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</si>
  <si>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</si>
  <si>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</si>
  <si>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</si>
  <si>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</si>
  <si>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</si>
  <si>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</si>
  <si>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</si>
  <si>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</si>
  <si>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</si>
  <si>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</si>
  <si>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</si>
  <si>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</si>
  <si>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</si>
  <si>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전기공사</t>
  </si>
  <si>
    <t>0101</t>
  </si>
  <si>
    <t>010101</t>
  </si>
  <si>
    <t>피뢰장치및액세서리</t>
  </si>
  <si>
    <t>피뢰기, 18kV, 2.5kA</t>
  </si>
  <si>
    <t>개</t>
  </si>
  <si>
    <t>59BD04D9434505F20547D204E4EC818E1FD432</t>
  </si>
  <si>
    <t>F</t>
  </si>
  <si>
    <t>T</t>
  </si>
  <si>
    <t>01010159BD04D9434505F20547D204E4EC818E1FD432</t>
  </si>
  <si>
    <t>파상형 경질폴리에틸렌 전선관</t>
  </si>
  <si>
    <t>80mm</t>
  </si>
  <si>
    <t>m</t>
  </si>
  <si>
    <t>호표 1</t>
  </si>
  <si>
    <t>5ED994E0632C05A58C44EC7258E7B5</t>
  </si>
  <si>
    <t>0101015ED994E0632C05A58C44EC7258E7B5</t>
  </si>
  <si>
    <t>절연전선</t>
  </si>
  <si>
    <t>F-GV, 150㎟, 관내포설</t>
  </si>
  <si>
    <t>호표 2</t>
  </si>
  <si>
    <t>5ED9D47E33F405936E444F49029855</t>
  </si>
  <si>
    <t>0101015ED9D47E33F405936E444F49029855</t>
  </si>
  <si>
    <t>단 말 처 리 재</t>
  </si>
  <si>
    <t>23kV 1/C 60°</t>
  </si>
  <si>
    <t>59BD04D9434505F20547D207B84A7AD20F9475</t>
  </si>
  <si>
    <t>01010159BD04D9434505F20547D207B84A7AD20F9475</t>
  </si>
  <si>
    <t>애자</t>
  </si>
  <si>
    <t>내오손 결합애자, 157mm x 213mm</t>
  </si>
  <si>
    <t>59BD04D9434505C5324D8810633B6AEE469D72</t>
  </si>
  <si>
    <t>01010159BD04D9434505C5324D8810633B6AEE469D72</t>
  </si>
  <si>
    <t>경완금밴드</t>
  </si>
  <si>
    <t>1방3호-200</t>
  </si>
  <si>
    <t>59BD04D9434505C5324D8393AA4DEB56F1719B</t>
  </si>
  <si>
    <t>01010159BD04D9434505C5324D8393AA4DEB56F1719B</t>
  </si>
  <si>
    <t>전주입상관</t>
  </si>
  <si>
    <t>특고압용</t>
  </si>
  <si>
    <t>개소</t>
  </si>
  <si>
    <t>호표 3</t>
  </si>
  <si>
    <t>5ED984FD83030590FD4B6B4892E4ED</t>
  </si>
  <si>
    <t>0101015ED984FD83030590FD4B6B4892E4ED</t>
  </si>
  <si>
    <t>125mm</t>
  </si>
  <si>
    <t>호표 4</t>
  </si>
  <si>
    <t>5ED994E0632C05FDBE44617D46C6EF</t>
  </si>
  <si>
    <t>0101015ED994E0632C05FDBE44617D46C6EF</t>
  </si>
  <si>
    <t>관로구방수</t>
  </si>
  <si>
    <t>ø125</t>
  </si>
  <si>
    <t>호표 5</t>
  </si>
  <si>
    <t>5ED994EC13B205C7524B6045FF0C32</t>
  </si>
  <si>
    <t>0101015ED994EC13B205C7524B6045FF0C32</t>
  </si>
  <si>
    <t>맨홀</t>
  </si>
  <si>
    <t>2,000*1,500*1,500</t>
  </si>
  <si>
    <t>호표 6</t>
  </si>
  <si>
    <t>5ED9749463430510F841DF09D28106</t>
  </si>
  <si>
    <t>0101015ED9749463430510F841DF09D28106</t>
  </si>
  <si>
    <t>전력케이블</t>
  </si>
  <si>
    <t>FR-CN/CO-W, 22.9KV, 1C 60㎟, 3열포설 1열당</t>
  </si>
  <si>
    <t>호표 7</t>
  </si>
  <si>
    <t>5ED9E46193E9056D6840F4BC4E2DED</t>
  </si>
  <si>
    <t>0101015ED9E46193E9056D6840F4BC4E2DED</t>
  </si>
  <si>
    <t>케이블단말접속자재</t>
  </si>
  <si>
    <t>자기수축, 23KV, 1C, 60-70㎟, 구내</t>
  </si>
  <si>
    <t>Kit</t>
  </si>
  <si>
    <t>호표 8</t>
  </si>
  <si>
    <t>5ED9E46B93BB059652431E849B12B0</t>
  </si>
  <si>
    <t>0101015ED9E46B93BB059652431E849B12B0</t>
  </si>
  <si>
    <t>접지봉</t>
  </si>
  <si>
    <t>14Φ×1000mm</t>
  </si>
  <si>
    <t>호표 9</t>
  </si>
  <si>
    <t>5ED9D47C03E605A4F241FEA84595D6</t>
  </si>
  <si>
    <t>0101015ED9D47C03E605A4F241FEA84595D6</t>
  </si>
  <si>
    <t>터파기</t>
  </si>
  <si>
    <t>토사,백호90%+인력10%</t>
  </si>
  <si>
    <t>㎥</t>
  </si>
  <si>
    <t>산근 1</t>
  </si>
  <si>
    <t>5E975467E3D905992645866F1961E5</t>
  </si>
  <si>
    <t>0101015E975467E3D905992645866F1961E5</t>
  </si>
  <si>
    <t>잔토처리</t>
  </si>
  <si>
    <t>토사10km 백호0.7M3+덤프15톤</t>
  </si>
  <si>
    <t>산근 2</t>
  </si>
  <si>
    <t>5E975466C34C05360848B866425A60</t>
  </si>
  <si>
    <t>0101015E975466C34C05360848B866425A60</t>
  </si>
  <si>
    <t>되메우고다지기(기계)</t>
  </si>
  <si>
    <t>백호0.7M3*래머80kg,다짐15cm</t>
  </si>
  <si>
    <t>산근 3</t>
  </si>
  <si>
    <t>5E975461432C058CBC470F8779DE6B</t>
  </si>
  <si>
    <t>0101015E975461432C058CBC470F8779DE6B</t>
  </si>
  <si>
    <t>모래깔기지정</t>
  </si>
  <si>
    <t>인력</t>
  </si>
  <si>
    <t>호표 10</t>
  </si>
  <si>
    <t>5E97447F83A90555F74574794298B6</t>
  </si>
  <si>
    <t>0101015E97447F83A90555F74574794298B6</t>
  </si>
  <si>
    <t>1,000*1,000*1,000</t>
  </si>
  <si>
    <t>호표 11</t>
  </si>
  <si>
    <t>5ED9749463430510F841DF09D28333</t>
  </si>
  <si>
    <t>0101015ED9749463430510F841DF09D28333</t>
  </si>
  <si>
    <t>경질비닐전선관</t>
  </si>
  <si>
    <t>22mm, 매입</t>
  </si>
  <si>
    <t>호표 12</t>
  </si>
  <si>
    <t>5ED994E3338505400A48116F64D173</t>
  </si>
  <si>
    <t>0101015ED994E3338505400A48116F64D173</t>
  </si>
  <si>
    <t>28mm, 매입</t>
  </si>
  <si>
    <t>호표 13</t>
  </si>
  <si>
    <t>5ED994E3338505379D45ABAB55FDF3</t>
  </si>
  <si>
    <t>0101015ED994E3338505379D45ABAB55FDF3</t>
  </si>
  <si>
    <t>100mm</t>
  </si>
  <si>
    <t>호표 14</t>
  </si>
  <si>
    <t>5ED994E0632C058AA64805C763C518</t>
  </si>
  <si>
    <t>0101015ED994E0632C058AA64805C763C518</t>
  </si>
  <si>
    <t>풀박스</t>
  </si>
  <si>
    <t>400X400X300mm, 노출, 천정</t>
  </si>
  <si>
    <t>호표 15</t>
  </si>
  <si>
    <t>5ED994EEC3790513764CAF4AFE62FA</t>
  </si>
  <si>
    <t>0101015ED994EEC3790513764CAF4AFE62FA</t>
  </si>
  <si>
    <t>ø100</t>
  </si>
  <si>
    <t>1개</t>
  </si>
  <si>
    <t>호표 16</t>
  </si>
  <si>
    <t>5ED994EC13B205FC9249512EC0690B</t>
  </si>
  <si>
    <t>0101015ED994EC13B205FC9249512EC0690B</t>
  </si>
  <si>
    <t>F-CV, 0.6/1kV, 1C 240㎟</t>
  </si>
  <si>
    <t>호표 17</t>
  </si>
  <si>
    <t>5ED9E46193DF05696D4DFB439A0F76</t>
  </si>
  <si>
    <t>0101015ED9E46193DF05696D4DFB439A0F76</t>
  </si>
  <si>
    <t>압착단자</t>
  </si>
  <si>
    <t>압착터미널, 35㎟, 1C 구내</t>
  </si>
  <si>
    <t>호표 18</t>
  </si>
  <si>
    <t>5ED9E476A38A05BF324C9623679EBD</t>
  </si>
  <si>
    <t>0101015ED9E476A38A05BF324C9623679EBD</t>
  </si>
  <si>
    <t>압착터미널, 150㎟, 1C 구내</t>
  </si>
  <si>
    <t>호표 19</t>
  </si>
  <si>
    <t>5ED9E47743E7053DA74D6CDAC50302</t>
  </si>
  <si>
    <t>0101015ED9E47743E7053DA74D6CDAC50302</t>
  </si>
  <si>
    <t>러그단자</t>
  </si>
  <si>
    <t>동관단자 2홀, 240㎟, 1C 구내</t>
  </si>
  <si>
    <t>호표 20</t>
  </si>
  <si>
    <t>5ED9E47743D60580FC441B13771A9E</t>
  </si>
  <si>
    <t>0101015ED9E47743D60580FC441B13771A9E</t>
  </si>
  <si>
    <t>F-GV, 16㎟, 관내포설</t>
  </si>
  <si>
    <t>호표 21</t>
  </si>
  <si>
    <t>5ED9D47E33F305FCA941C7657E3821</t>
  </si>
  <si>
    <t>0101015ED9D47E33F305FCA941C7657E3821</t>
  </si>
  <si>
    <t>F-GV, 25㎟, 관내포설</t>
  </si>
  <si>
    <t>호표 22</t>
  </si>
  <si>
    <t>5ED9D47E33F305C7EE494EA0D17798</t>
  </si>
  <si>
    <t>0101015ED9D47E33F305C7EE494EA0D17798</t>
  </si>
  <si>
    <t>F-GV, 35㎟, 관내포설</t>
  </si>
  <si>
    <t>호표 23</t>
  </si>
  <si>
    <t>5ED9D47E33F305D07648E28F1BA7B6</t>
  </si>
  <si>
    <t>0101015ED9D47E33F305D07648E28F1BA7B6</t>
  </si>
  <si>
    <t>F-GV, 50㎟, 관내포설</t>
  </si>
  <si>
    <t>호표 24</t>
  </si>
  <si>
    <t>5ED9D47E33F30527254FE207244BDA</t>
  </si>
  <si>
    <t>0101015ED9D47E33F30527254FE207244BDA</t>
  </si>
  <si>
    <t>F-GV, 70㎟, 관내포설</t>
  </si>
  <si>
    <t>호표 25</t>
  </si>
  <si>
    <t>5ED9D47E33F30531BF46E89E1DB294</t>
  </si>
  <si>
    <t>[ 합           계 ]</t>
  </si>
  <si>
    <t>TOTAL</t>
  </si>
  <si>
    <t>010102</t>
  </si>
  <si>
    <t>분전함 L-1-A</t>
  </si>
  <si>
    <t>면</t>
  </si>
  <si>
    <t>호표 26</t>
  </si>
  <si>
    <t>5ED97497334305662E41609DF03D8A</t>
  </si>
  <si>
    <t>0101025ED97497334305662E41609DF03D8A</t>
  </si>
  <si>
    <t>분전함 P-N</t>
  </si>
  <si>
    <t>호표 27</t>
  </si>
  <si>
    <t>5ED97497334305C8A54E8A78066AEE</t>
  </si>
  <si>
    <t>0101025ED97497334305C8A54E8A78066AEE</t>
  </si>
  <si>
    <t>노말밴드후강전선관용</t>
  </si>
  <si>
    <t>아연도54mm</t>
  </si>
  <si>
    <t>59BD04D943560546DA4DFAAEA1349E5F18FF0C</t>
  </si>
  <si>
    <t>01010259BD04D943560546DA4DFAAEA1349E5F18FF0C</t>
  </si>
  <si>
    <t>아연도70mm</t>
  </si>
  <si>
    <t>59BD04D943560546DA4DFAAEA1349E5F18FF0D</t>
  </si>
  <si>
    <t>01010259BD04D943560546DA4DFAAEA1349E5F18FF0D</t>
  </si>
  <si>
    <t>분전함 L-1-M</t>
  </si>
  <si>
    <t>호표 28</t>
  </si>
  <si>
    <t>5ED9749733430570B1483E945750CE</t>
  </si>
  <si>
    <t>0101025ED9749733430570B1483E945750CE</t>
  </si>
  <si>
    <t>분전함 L-2-M</t>
  </si>
  <si>
    <t>호표 29</t>
  </si>
  <si>
    <t>5ED974973343050DB6429DBEBFF3AB</t>
  </si>
  <si>
    <t>0101025ED974973343050DB6429DBEBFF3AB</t>
  </si>
  <si>
    <t>분전함 L-3-M</t>
  </si>
  <si>
    <t>호표 30</t>
  </si>
  <si>
    <t>5ED97497334305289D4E1C9CAE941A</t>
  </si>
  <si>
    <t>0101025ED97497334305289D4E1C9CAE941A</t>
  </si>
  <si>
    <t>분전함 P-AC</t>
  </si>
  <si>
    <t>호표 31</t>
  </si>
  <si>
    <t>5ED97497334305C8A54E8A78066AE6</t>
  </si>
  <si>
    <t>0101025ED97497334305C8A54E8A78066AE6</t>
  </si>
  <si>
    <t>강제전선관</t>
  </si>
  <si>
    <t>아연도, 54mm, 매입(또는 앵커볼트 설치에 따른 노출공사)</t>
  </si>
  <si>
    <t>호표 32</t>
  </si>
  <si>
    <t>5ED994E333A005383149C76F9E7531</t>
  </si>
  <si>
    <t>0101025ED994E333A005383149C76F9E7531</t>
  </si>
  <si>
    <t>아연도, 70mm, 매입(또는 앵커볼트 설치에 따른 노출공사)</t>
  </si>
  <si>
    <t>호표 33</t>
  </si>
  <si>
    <t>5ED994E333A005CE7142F8FEA40313</t>
  </si>
  <si>
    <t>0101025ED994E333A005CE7142F8FEA40313</t>
  </si>
  <si>
    <t>파이프행거</t>
  </si>
  <si>
    <t>54C</t>
  </si>
  <si>
    <t>호표 34</t>
  </si>
  <si>
    <t>5ED994ED33B8054DA74DDB748F09F0</t>
  </si>
  <si>
    <t>0101025ED994ED33B8054DA74DDB748F09F0</t>
  </si>
  <si>
    <t>70C</t>
  </si>
  <si>
    <t>호표 35</t>
  </si>
  <si>
    <t>5ED994ED33B8054DA74DDA6EA4A4BC</t>
  </si>
  <si>
    <t>0101025ED994ED33B8054DA74DDA6EA4A4BC</t>
  </si>
  <si>
    <t>F-CV, 0.6/1kV, 4C 16㎟</t>
  </si>
  <si>
    <t>호표 36</t>
  </si>
  <si>
    <t>5ED9E460F32A05D5A3452CCB9306A2</t>
  </si>
  <si>
    <t>0101025ED9E460F32A05D5A3452CCB9306A2</t>
  </si>
  <si>
    <t>F-CV, 0.6/1kV, 1C 70㎟</t>
  </si>
  <si>
    <t>호표 37</t>
  </si>
  <si>
    <t>5ED9E46193DF05114C42A82DD074CF</t>
  </si>
  <si>
    <t>0101025ED9E46193DF05114C42A82DD074CF</t>
  </si>
  <si>
    <t>동관단자 2홀, 35㎟, 1C 구내</t>
  </si>
  <si>
    <t>호표 38</t>
  </si>
  <si>
    <t>5ED9E476A3B60578F64B93D587B3D0</t>
  </si>
  <si>
    <t>0101025ED9E476A3B60578F64B93D587B3D0</t>
  </si>
  <si>
    <t>동관단자 2홀, 70㎟, 1C 구내</t>
  </si>
  <si>
    <t>호표 39</t>
  </si>
  <si>
    <t>5ED9E476A3B6055C0341BEEC294D79</t>
  </si>
  <si>
    <t>0101025ED9E476A3B6055C0341BEEC294D79</t>
  </si>
  <si>
    <t>0101025ED9D47E33F305FCA941C7657E3821</t>
  </si>
  <si>
    <t>0101025ED9D47E33F305D07648E28F1BA7B6</t>
  </si>
  <si>
    <t>010103</t>
  </si>
  <si>
    <t>01010301</t>
  </si>
  <si>
    <t>박스커버</t>
  </si>
  <si>
    <t>4각, 둥근구멍, 오목</t>
  </si>
  <si>
    <t>59BD04D9434505F25D4610DED17BE90757BF37</t>
  </si>
  <si>
    <t>0101030159BD04D9434505F25D4610DED17BE90757BF37</t>
  </si>
  <si>
    <t>합성수지제 가요전선관</t>
  </si>
  <si>
    <t>하이렉스-CD(난연성), 16mm, 매입</t>
  </si>
  <si>
    <t>호표 40</t>
  </si>
  <si>
    <t>5ED994E333F8054FD049099AAA1449</t>
  </si>
  <si>
    <t>010103015ED994E333F8054FD049099AAA1449</t>
  </si>
  <si>
    <t>스위치박스</t>
  </si>
  <si>
    <t>ST, 1개용 54mm</t>
  </si>
  <si>
    <t>호표 41</t>
  </si>
  <si>
    <t>5ED994E94374058D3B422A1CD47878</t>
  </si>
  <si>
    <t>010103015ED994E94374058D3B422A1CD47878</t>
  </si>
  <si>
    <t>아우트렛박스</t>
  </si>
  <si>
    <t>4각 54mm</t>
  </si>
  <si>
    <t>호표 42</t>
  </si>
  <si>
    <t>5ED994E9437405E7AE4BC189AD3204</t>
  </si>
  <si>
    <t>010103015ED994E9437405E7AE4BC189AD3204</t>
  </si>
  <si>
    <t>절연전선(3열동시포설)</t>
  </si>
  <si>
    <t>HFIX, 2.5㎟, 관내배선</t>
  </si>
  <si>
    <t>호표 43</t>
  </si>
  <si>
    <t>5ED9E46343A4057D20459DFD8AC51D</t>
  </si>
  <si>
    <t>010103015ED9E46343A4057D20459DFD8AC51D</t>
  </si>
  <si>
    <t>HFIX, 2.5㎟, 관내배선 바닥공사</t>
  </si>
  <si>
    <t>호표 44</t>
  </si>
  <si>
    <t>5ED9E46343A4057D2046A3C8B835C4</t>
  </si>
  <si>
    <t>010103015ED9E46343A4057D2046A3C8B835C4</t>
  </si>
  <si>
    <t>콘센트</t>
  </si>
  <si>
    <t>매입-접지형, 15A 250V 2구</t>
  </si>
  <si>
    <t>호표 45</t>
  </si>
  <si>
    <t>5ED9F447C3F2055ADA4055EAB90B20</t>
  </si>
  <si>
    <t>010103015ED9F447C3F2055ADA4055EAB90B20</t>
  </si>
  <si>
    <t>방우형, 15A 250V 1구</t>
  </si>
  <si>
    <t>호표 46</t>
  </si>
  <si>
    <t>5ED9F447C3C5051C874877F52CD366</t>
  </si>
  <si>
    <t>010103015ED9F447C3C5051C874877F52CD366</t>
  </si>
  <si>
    <t>대기전력차단콘센트 2구</t>
  </si>
  <si>
    <t>호표 47</t>
  </si>
  <si>
    <t>5ED9F447C3C5051CFA47C5D6A88DAF</t>
  </si>
  <si>
    <t>010103015ED9F447C3C5051CFA47C5D6A88DAF</t>
  </si>
  <si>
    <t>01010302</t>
  </si>
  <si>
    <t>0101030259BD04D9434505F25D4610DED17BE90757BF37</t>
  </si>
  <si>
    <t>010103025ED994E333F8054FD049099AAA1449</t>
  </si>
  <si>
    <t>010103025ED994E9437405E7AE4BC189AD3204</t>
  </si>
  <si>
    <t>100X100X100mm, 매입, 천정</t>
  </si>
  <si>
    <t>호표 48</t>
  </si>
  <si>
    <t>5ED994EEC379056B7B47BB0FD650FE</t>
  </si>
  <si>
    <t>010103025ED994EEC379056B7B47BB0FD650FE</t>
  </si>
  <si>
    <t>010103025ED9E46343A4057D20459DFD8AC51D</t>
  </si>
  <si>
    <t>010103025ED9E46343A4057D2046A3C8B835C4</t>
  </si>
  <si>
    <t>010103025ED9F447C3F2055ADA4055EAB90B20</t>
  </si>
  <si>
    <t>010103025ED9F447C3C5051CFA47C5D6A88DAF</t>
  </si>
  <si>
    <t>01010303</t>
  </si>
  <si>
    <t>0101030359BD04D9434505F25D4610DED17BE90757BF37</t>
  </si>
  <si>
    <t>010103035ED994E333F8054FD049099AAA1449</t>
  </si>
  <si>
    <t>010103035ED994E94374058D3B422A1CD47878</t>
  </si>
  <si>
    <t>010103035ED994E9437405E7AE4BC189AD3204</t>
  </si>
  <si>
    <t>시스템박스</t>
  </si>
  <si>
    <t>전선관용(매입)</t>
  </si>
  <si>
    <t>호표 49</t>
  </si>
  <si>
    <t>5ED994E9431205223D4B24468F1878</t>
  </si>
  <si>
    <t>010103035ED994E9431205223D4B24468F1878</t>
  </si>
  <si>
    <t>010103035ED9E46343A4057D20459DFD8AC51D</t>
  </si>
  <si>
    <t>010103035ED9E46343A4057D2046A3C8B835C4</t>
  </si>
  <si>
    <t>010103035ED9F447C3F2055ADA4055EAB90B20</t>
  </si>
  <si>
    <t>010103035ED9F447C3C5051C874877F52CD366</t>
  </si>
  <si>
    <t>010103035ED9F447C3C5051CFA47C5D6A88DAF</t>
  </si>
  <si>
    <t>010104</t>
  </si>
  <si>
    <t>01010401</t>
  </si>
  <si>
    <t>8각, 둥근구멍, 평</t>
  </si>
  <si>
    <t>59BD04D9434505F25D4610DED17BE90757BF31</t>
  </si>
  <si>
    <t>0101040159BD04D9434505F25D4610DED17BE90757BF31</t>
  </si>
  <si>
    <t>박스커넥터(비방수)</t>
  </si>
  <si>
    <t>1종금속제가요전선관, 16mm</t>
  </si>
  <si>
    <t>59BD04D943560546DA4DF406A5D3AB593DF7AC</t>
  </si>
  <si>
    <t>0101040159BD04D943560546DA4DF406A5D3AB593DF7AC</t>
  </si>
  <si>
    <t>1종금속제가요전선관</t>
  </si>
  <si>
    <t>16mm 비방수, 노출</t>
  </si>
  <si>
    <t>호표 50</t>
  </si>
  <si>
    <t>5ED994E3339705C35F44656FB09BC4</t>
  </si>
  <si>
    <t>010104015ED994E3339705C35F44656FB09BC4</t>
  </si>
  <si>
    <t>010104015ED994E333F8054FD049099AAA1449</t>
  </si>
  <si>
    <t>HI-LEX-PF(난연성), 16mm, 매입</t>
  </si>
  <si>
    <t>호표 51</t>
  </si>
  <si>
    <t>5ED994E333F8054FD04A108B5AB68F</t>
  </si>
  <si>
    <t>010104015ED994E333F8054FD04A108B5AB68F</t>
  </si>
  <si>
    <t>010104015ED994E94374058D3B422A1CD47878</t>
  </si>
  <si>
    <t>8각 54mm</t>
  </si>
  <si>
    <t>호표 52</t>
  </si>
  <si>
    <t>5ED994E9437405E7AE480C7D0A9921</t>
  </si>
  <si>
    <t>010104015ED994E9437405E7AE480C7D0A9921</t>
  </si>
  <si>
    <t>절연전선(2열동시포설)</t>
  </si>
  <si>
    <t>호표 53</t>
  </si>
  <si>
    <t>5ED9E46343A4057D20459DFD8AC624</t>
  </si>
  <si>
    <t>010104015ED9E46343A4057D20459DFD8AC624</t>
  </si>
  <si>
    <t>010104015ED9E46343A4057D20459DFD8AC51D</t>
  </si>
  <si>
    <t>절연전선(4열동시포설)</t>
  </si>
  <si>
    <t>호표 54</t>
  </si>
  <si>
    <t>5ED9E46343A4057D20459DFD8AC47A</t>
  </si>
  <si>
    <t>010104015ED9E46343A4057D20459DFD8AC47A</t>
  </si>
  <si>
    <t>절연전선(5열동시포설)</t>
  </si>
  <si>
    <t>호표 55</t>
  </si>
  <si>
    <t>5ED9E46343A4057D20459DFD8AC350</t>
  </si>
  <si>
    <t>010104015ED9E46343A4057D20459DFD8AC350</t>
  </si>
  <si>
    <t>등기구 "A"TYPE</t>
  </si>
  <si>
    <t>LED 40W X 1 (LED 슬림매입등)300x1200</t>
  </si>
  <si>
    <t>호표 56</t>
  </si>
  <si>
    <t>5ED9F44E73CA057E5E43FA46C77090</t>
  </si>
  <si>
    <t>010104015ED9F44E73CA057E5E43FA46C77090</t>
  </si>
  <si>
    <t>등기구 "B"TYPE</t>
  </si>
  <si>
    <t>LED 40W X 1 (LED 슬림직부등)300x1200</t>
  </si>
  <si>
    <t>호표 57</t>
  </si>
  <si>
    <t>5ED9F44E73CA057E5E464E86358C7A</t>
  </si>
  <si>
    <t>010104015ED9F44E73CA057E5E464E86358C7A</t>
  </si>
  <si>
    <t>등기구 "C"TYPE</t>
  </si>
  <si>
    <t>LED 15W X 1 (LED 다운라이트)</t>
  </si>
  <si>
    <t>호표 58</t>
  </si>
  <si>
    <t>5ED9F44E73CA057E5E4755F705061D</t>
  </si>
  <si>
    <t>010104015ED9F44E73CA057E5E4755F705061D</t>
  </si>
  <si>
    <t>등기구 "D"TYPE</t>
  </si>
  <si>
    <t>LED 15W X 1 (LED 원형직부등)</t>
  </si>
  <si>
    <t>호표 59</t>
  </si>
  <si>
    <t>5ED9F44E73CA057E5E4481194DEC89</t>
  </si>
  <si>
    <t>010104015ED9F44E73CA057E5E4481194DEC89</t>
  </si>
  <si>
    <t>등기구 "E"TYPE</t>
  </si>
  <si>
    <t>LED 15W X 1(LED 벽부등)</t>
  </si>
  <si>
    <t>호표 60</t>
  </si>
  <si>
    <t>5ED9F44E73CA057E5E45A8220F0BE8</t>
  </si>
  <si>
    <t>010104015ED9F44E73CA057E5E45A8220F0BE8</t>
  </si>
  <si>
    <t>스위치</t>
  </si>
  <si>
    <t>단로, 15A 250V, 1구</t>
  </si>
  <si>
    <t>호표 61</t>
  </si>
  <si>
    <t>5ED9F441A374059BFE4C294D7B91CE</t>
  </si>
  <si>
    <t>010104015ED9F441A374059BFE4C294D7B91CE</t>
  </si>
  <si>
    <t>단로, 15A 250V, 2구</t>
  </si>
  <si>
    <t>호표 62</t>
  </si>
  <si>
    <t>5ED9F441A374059BC147E53F9C7BF3</t>
  </si>
  <si>
    <t>010104015ED9F441A374059BC147E53F9C7BF3</t>
  </si>
  <si>
    <t>단로, 15A 250V, 3구</t>
  </si>
  <si>
    <t>호표 63</t>
  </si>
  <si>
    <t>5ED9F441A374059BD34E8E7A1B7C25</t>
  </si>
  <si>
    <t>010104015ED9F441A374059BD34E8E7A1B7C25</t>
  </si>
  <si>
    <t>일괄소등스위치</t>
  </si>
  <si>
    <t>1회로</t>
  </si>
  <si>
    <t>호표 64</t>
  </si>
  <si>
    <t>5ED9F441A31305C7474889687A215F</t>
  </si>
  <si>
    <t>010104015ED9F441A31305C7474889687A215F</t>
  </si>
  <si>
    <t>매입-접지형, 15A 250V 1구</t>
  </si>
  <si>
    <t>호표 65</t>
  </si>
  <si>
    <t>5ED9F447C3F2055ABF42F9C131BEEE</t>
  </si>
  <si>
    <t>010104015ED9F447C3F2055ABF42F9C131BEEE</t>
  </si>
  <si>
    <t>01010402</t>
  </si>
  <si>
    <t>0101040259BD04D9434505F25D4610DED17BE90757BF31</t>
  </si>
  <si>
    <t>0101040259BD04D943560546DA4DF406A5D3AB593DF7AC</t>
  </si>
  <si>
    <t>010104025ED994E3339705C35F44656FB09BC4</t>
  </si>
  <si>
    <t>010104025ED994E333F8054FD049099AAA1449</t>
  </si>
  <si>
    <t>010104025ED994E333F8054FD04A108B5AB68F</t>
  </si>
  <si>
    <t>010104025ED994E94374058D3B422A1CD47878</t>
  </si>
  <si>
    <t>010104025ED994E9437405E7AE480C7D0A9921</t>
  </si>
  <si>
    <t>010104025ED9E46343A4057D20459DFD8AC624</t>
  </si>
  <si>
    <t>010104025ED9E46343A4057D20459DFD8AC51D</t>
  </si>
  <si>
    <t>010104025ED9E46343A4057D20459DFD8AC47A</t>
  </si>
  <si>
    <t>010104025ED9E46343A4057D20459DFD8AC350</t>
  </si>
  <si>
    <t>010104025ED9F44E73CA057E5E43FA46C77090</t>
  </si>
  <si>
    <t>010104025ED9F44E73CA057E5E4755F705061D</t>
  </si>
  <si>
    <t>010104025ED9F44E73CA057E5E45A8220F0BE8</t>
  </si>
  <si>
    <t>010104025ED9F441A374059BFE4C294D7B91CE</t>
  </si>
  <si>
    <t>010104025ED9F441A374059BC147E53F9C7BF3</t>
  </si>
  <si>
    <t>010104025ED9F441A31305C7474889687A215F</t>
  </si>
  <si>
    <t>01010403</t>
  </si>
  <si>
    <t>0101040359BD04D9434505F25D4610DED17BE90757BF31</t>
  </si>
  <si>
    <t>0101040359BD04D943560546DA4DF406A5D3AB593DF7AC</t>
  </si>
  <si>
    <t>010104035ED994E3339705C35F44656FB09BC4</t>
  </si>
  <si>
    <t>010104035ED994E333F8054FD049099AAA1449</t>
  </si>
  <si>
    <t>010104035ED994E333F8054FD04A108B5AB68F</t>
  </si>
  <si>
    <t>하이렉스-CD(난연성), 22mm, 매입</t>
  </si>
  <si>
    <t>호표 66</t>
  </si>
  <si>
    <t>5ED994E333F805584D4BA7558435DC</t>
  </si>
  <si>
    <t>010104035ED994E333F805584D4BA7558435DC</t>
  </si>
  <si>
    <t>010104035ED994E94374058D3B422A1CD47878</t>
  </si>
  <si>
    <t>010104035ED994E9437405E7AE480C7D0A9921</t>
  </si>
  <si>
    <t>010104035ED9E46343A4057D20459DFD8AC624</t>
  </si>
  <si>
    <t>010104035ED9E46343A4057D20459DFD8AC51D</t>
  </si>
  <si>
    <t>010104035ED9E46343A4057D20459DFD8AC47A</t>
  </si>
  <si>
    <t>010104035ED9E46343A4057D20459DFD8AC350</t>
  </si>
  <si>
    <t>절연전선(6열동시포설)</t>
  </si>
  <si>
    <t>호표 67</t>
  </si>
  <si>
    <t>5ED9E46343A4057D20459DFD8AC249</t>
  </si>
  <si>
    <t>010104035ED9E46343A4057D20459DFD8AC249</t>
  </si>
  <si>
    <t>절연전선(7열동시포설)</t>
  </si>
  <si>
    <t>호표 68</t>
  </si>
  <si>
    <t>5ED9E46343A4057D20459DFD8AC1A6</t>
  </si>
  <si>
    <t>010104035ED9E46343A4057D20459DFD8AC1A6</t>
  </si>
  <si>
    <t>010104035ED9F44E73CA057E5E43FA46C77090</t>
  </si>
  <si>
    <t>010104035ED9F44E73CA057E5E4755F705061D</t>
  </si>
  <si>
    <t>010104035ED9F44E73CA057E5E45A8220F0BE8</t>
  </si>
  <si>
    <t>등기구 "F"TYPE</t>
  </si>
  <si>
    <t>LED 12W X 1 (LED 센서등)</t>
  </si>
  <si>
    <t>호표 69</t>
  </si>
  <si>
    <t>5ED9F44E73CA057E5E4A295685E763</t>
  </si>
  <si>
    <t>010104035ED9F44E73CA057E5E4A295685E763</t>
  </si>
  <si>
    <t>010104035ED9F441A374059BFE4C294D7B91CE</t>
  </si>
  <si>
    <t>010104035ED9F441A374059BC147E53F9C7BF3</t>
  </si>
  <si>
    <t>010104035ED9F441A374059BD34E8E7A1B7C25</t>
  </si>
  <si>
    <t>010104035ED9F441A31305C7474889687A215F</t>
  </si>
  <si>
    <t>010104035ED9F447C3F2055ABF42F9C131BEEE</t>
  </si>
  <si>
    <t>30mm</t>
  </si>
  <si>
    <t>호표 70</t>
  </si>
  <si>
    <t>5ED994E333EF05A5664543CF4A6704</t>
  </si>
  <si>
    <t>등기구 "G"TYPE</t>
  </si>
  <si>
    <t>LED 50W X 1 (LED 보안등, 재사용)</t>
  </si>
  <si>
    <t>호표 71</t>
  </si>
  <si>
    <t>5ED9F44E73CA057E5E43FA46C77091</t>
  </si>
  <si>
    <t>POLE LIGHT 인력설치 (재사용)</t>
  </si>
  <si>
    <t>5m이하, 1등용</t>
  </si>
  <si>
    <t>본</t>
  </si>
  <si>
    <t>호표 72</t>
  </si>
  <si>
    <t>5ED9F44093EA05A12845AEDC1DF532</t>
  </si>
  <si>
    <t>40mm</t>
  </si>
  <si>
    <t>호표 73</t>
  </si>
  <si>
    <t>5ED994E333EF05949E4B67753B9953</t>
  </si>
  <si>
    <t>F-CV, 0.6/1kV, 2C 6㎟</t>
  </si>
  <si>
    <t>호표 74</t>
  </si>
  <si>
    <t>5ED9E460F32A05F09B46EE3DACCABB</t>
  </si>
  <si>
    <t>F-GV, 6㎟, 관내포설</t>
  </si>
  <si>
    <t>호표 75</t>
  </si>
  <si>
    <t>5ED9D47E33F3059A2344960A401D72</t>
  </si>
  <si>
    <t>010105</t>
  </si>
  <si>
    <t>4각, 둥근구멍, 평</t>
  </si>
  <si>
    <t>59BD04D9434505F25D4610DED17BE90757BF36</t>
  </si>
  <si>
    <t>01010559BD04D9434505F25D4610DED17BE90757BF36</t>
  </si>
  <si>
    <t>박스커넥터(방수)</t>
  </si>
  <si>
    <t>1종금속제가요전선관, 28mm</t>
  </si>
  <si>
    <t>59BD04D943560546DA4DF406A5D3AB593DF071</t>
  </si>
  <si>
    <t>01010559BD04D943560546DA4DF406A5D3AB593DF071</t>
  </si>
  <si>
    <t>1종금속제가요전선관, 42mm</t>
  </si>
  <si>
    <t>59BD04D943560546DA4DF406A5D3AB593DF100</t>
  </si>
  <si>
    <t>01010559BD04D943560546DA4DF406A5D3AB593DF100</t>
  </si>
  <si>
    <t>28mm 방수, 노출</t>
  </si>
  <si>
    <t>호표 76</t>
  </si>
  <si>
    <t>5ED994E3339705A06D413BAA71A388</t>
  </si>
  <si>
    <t>0101055ED994E3339705A06D413BAA71A388</t>
  </si>
  <si>
    <t>42mm 방수, 노출</t>
  </si>
  <si>
    <t>호표 77</t>
  </si>
  <si>
    <t>5ED994E333970585874AD51217E2E2</t>
  </si>
  <si>
    <t>0101055ED994E333970585874AD51217E2E2</t>
  </si>
  <si>
    <t>0101055ED994E333F8054FD049099AAA1449</t>
  </si>
  <si>
    <t>0101055ED994E333F805584D4BA7558435DC</t>
  </si>
  <si>
    <t>0101055ED994E94374058D3B422A1CD47878</t>
  </si>
  <si>
    <t>0101055ED994E9437405E7AE4BC189AD3204</t>
  </si>
  <si>
    <t>F-CV, 0.6/1kV, 4C 4㎟</t>
  </si>
  <si>
    <t>호표 78</t>
  </si>
  <si>
    <t>5ED9E460F32A058D8F4B02FD913966</t>
  </si>
  <si>
    <t>0101055ED9E460F32A058D8F4B02FD913966</t>
  </si>
  <si>
    <t>0101055ED9E460F32A05D5A3452CCB9306A2</t>
  </si>
  <si>
    <t>0101055ED9E46343A4057D20459DFD8AC51D</t>
  </si>
  <si>
    <t>0101055ED9F447C3F2055ABF42F9C131BEEE</t>
  </si>
  <si>
    <t>F-GV, 4㎟, 관내포설</t>
  </si>
  <si>
    <t>호표 79</t>
  </si>
  <si>
    <t>5ED9D47E33F30588524E012E5119E9</t>
  </si>
  <si>
    <t>0101055ED9D47E33F30588524E012E5119E9</t>
  </si>
  <si>
    <t>0101055ED9D47E33F305FCA941C7657E3821</t>
  </si>
  <si>
    <t>010106</t>
  </si>
  <si>
    <t>케이블트레이부속품</t>
  </si>
  <si>
    <t>S/T COVER, 700x1.2t</t>
  </si>
  <si>
    <t>59BD04D943560546DA4DF6339A006CBD245225</t>
  </si>
  <si>
    <t>01010659BD04D943560546DA4DF6339A006CBD245225</t>
  </si>
  <si>
    <t>S/T COVER, 300x1.2t</t>
  </si>
  <si>
    <t>59BD04D943560546DA4DF6339A006CBD245107</t>
  </si>
  <si>
    <t>01010659BD04D943560546DA4DF6339A006CBD245107</t>
  </si>
  <si>
    <t>케이블트레이</t>
  </si>
  <si>
    <t>W700x100Hx2.3t</t>
  </si>
  <si>
    <t>호표 80</t>
  </si>
  <si>
    <t>5ED994E5E38B05EB114266F99590FF</t>
  </si>
  <si>
    <t>0101065ED994E5E38B05EB114266F99590FF</t>
  </si>
  <si>
    <t>케이블트레이지지대(옥외수평)</t>
  </si>
  <si>
    <t>W700</t>
  </si>
  <si>
    <t>호표 81</t>
  </si>
  <si>
    <t>5ED994ED33B80533224D19213B4E4D</t>
  </si>
  <si>
    <t>0101065ED994ED33B80533224D19213B4E4D</t>
  </si>
  <si>
    <t>Joint connector</t>
  </si>
  <si>
    <t>아연도, 100×t2.3mm</t>
  </si>
  <si>
    <t>59BD04D943560546DA4DF7DAC33D30D42577C1</t>
  </si>
  <si>
    <t>01010659BD04D943560546DA4DF7DAC33D30D42577C1</t>
  </si>
  <si>
    <t>Shank bolt and nut</t>
  </si>
  <si>
    <t>아연도</t>
  </si>
  <si>
    <t>59BD04D943560546DA4DF7DAC33D30D4257475</t>
  </si>
  <si>
    <t>01010659BD04D943560546DA4DF7DAC33D30D4257475</t>
  </si>
  <si>
    <t>Bonding jumper</t>
  </si>
  <si>
    <t>22㎟</t>
  </si>
  <si>
    <t>59BD04D943560546DA4DF7DAC33D30D4257476</t>
  </si>
  <si>
    <t>01010659BD04D943560546DA4DF7DAC33D30D4257476</t>
  </si>
  <si>
    <t>W300x100Hx2.3t</t>
  </si>
  <si>
    <t>호표 82</t>
  </si>
  <si>
    <t>5ED994E5E38B05EB11426C02A2F611</t>
  </si>
  <si>
    <t>0101065ED994E5E38B05EB11426C02A2F611</t>
  </si>
  <si>
    <t>케이블트레이지지대(수직)</t>
  </si>
  <si>
    <t>W300</t>
  </si>
  <si>
    <t>호표 83</t>
  </si>
  <si>
    <t>5ED994ED33AF05E2FE49AB0A4CD670</t>
  </si>
  <si>
    <t>0101065ED994ED33AF05E2FE49AB0A4CD670</t>
  </si>
  <si>
    <t>F-GV, 120㎟, 직매포설</t>
  </si>
  <si>
    <t>호표 84</t>
  </si>
  <si>
    <t>5ED9D47E33F4058284438A6438BDF3</t>
  </si>
  <si>
    <t>0101065ED9D47E33F4058284438A6438BDF3</t>
  </si>
  <si>
    <t>010107</t>
  </si>
  <si>
    <t>접지용 절연전선</t>
  </si>
  <si>
    <t>F-GV, 16㎟</t>
  </si>
  <si>
    <t>59A344B813EF05160541291C4BCB9380C2242C</t>
  </si>
  <si>
    <t>01010759A344B813EF05160541291C4BCB9380C2242C</t>
  </si>
  <si>
    <t>BC WIRE</t>
  </si>
  <si>
    <t>BC WIRE 70SQ</t>
  </si>
  <si>
    <t>59A344B813EF05160541291C4BCB9380CD311A</t>
  </si>
  <si>
    <t>01010759A344B813EF05160541291C4BCB9380CD311A</t>
  </si>
  <si>
    <t>접지단자함</t>
  </si>
  <si>
    <t>5CCT</t>
  </si>
  <si>
    <t>59BD04D9434505F25D461BE4943B539D000D03</t>
  </si>
  <si>
    <t>01010759BD04D9434505F25D461BE4943B539D000D03</t>
  </si>
  <si>
    <t>CHEM ROD접지봉</t>
  </si>
  <si>
    <t>JEGR-1600</t>
  </si>
  <si>
    <t>SET</t>
  </si>
  <si>
    <t>59BD04D9434505F205441DF8005D9C825F57DD</t>
  </si>
  <si>
    <t>01010759BD04D9434505F205441DF8005D9C825F57DD</t>
  </si>
  <si>
    <t>접지동봉</t>
  </si>
  <si>
    <t>59BD04D9434505F205441DF8005D9C825F56CE</t>
  </si>
  <si>
    <t>01010759BD04D9434505F205441DF8005D9C825F56CE</t>
  </si>
  <si>
    <t>수막처리동봉</t>
  </si>
  <si>
    <t>Φ18×500L</t>
  </si>
  <si>
    <t>59BD04D9434505F205441DFBD4F22F4A698A86</t>
  </si>
  <si>
    <t>01010759BD04D9434505F205441DFBD4F22F4A698A86</t>
  </si>
  <si>
    <t>접지첨가제</t>
  </si>
  <si>
    <t>CHEM EARTH, 25kg</t>
  </si>
  <si>
    <t>포</t>
  </si>
  <si>
    <t>59BD04D9434505F2054C53BB6E792EA0F92CA3</t>
  </si>
  <si>
    <t>01010759BD04D9434505F2054C53BB6E792EA0F92CA3</t>
  </si>
  <si>
    <t>C형 슬리브</t>
  </si>
  <si>
    <t>70SQ</t>
  </si>
  <si>
    <t>59BD04D943560546DA4DFAAEA1349E5F18F1A4</t>
  </si>
  <si>
    <t>01010759BD04D943560546DA4DFAAEA1349E5F18F1A4</t>
  </si>
  <si>
    <t>철근접지크램프</t>
  </si>
  <si>
    <t>구조체 접속</t>
  </si>
  <si>
    <t>59BD04D943560546DA4DFAAEA1349E5F18F1A5</t>
  </si>
  <si>
    <t>01010759BD04D943560546DA4DFAAEA1349E5F18F1A5</t>
  </si>
  <si>
    <t>0102</t>
  </si>
  <si>
    <t>3</t>
  </si>
  <si>
    <t>010201</t>
  </si>
  <si>
    <t>HV-1</t>
  </si>
  <si>
    <t>59BD04D9434505F27844F521813B0ED82A1243</t>
  </si>
  <si>
    <t>01020159BD04D9434505F27844F521813B0ED82A1243</t>
  </si>
  <si>
    <t>HV-2</t>
  </si>
  <si>
    <t>식</t>
  </si>
  <si>
    <t>59BD04D9434505F27844F521813B0ED82A1244</t>
  </si>
  <si>
    <t>01020159BD04D9434505F27844F521813B0ED82A1244</t>
  </si>
  <si>
    <t>HV-3</t>
  </si>
  <si>
    <t>59BD04D9434505F27844F521813B0ED82A1245</t>
  </si>
  <si>
    <t>01020159BD04D9434505F27844F521813B0ED82A1245</t>
  </si>
  <si>
    <t>HV-4</t>
  </si>
  <si>
    <t>59BD04D9434505F27844F521813B0ED82A1246</t>
  </si>
  <si>
    <t>01020159BD04D9434505F27844F521813B0ED82A1246</t>
  </si>
  <si>
    <t>TR-1</t>
  </si>
  <si>
    <t>59BD04D9434505F27844F521813B0ED82A1247</t>
  </si>
  <si>
    <t>01020159BD04D9434505F27844F521813B0ED82A1247</t>
  </si>
  <si>
    <t>LV-1</t>
  </si>
  <si>
    <t>59BD04D9434505F27844F521813B0ED82A1248</t>
  </si>
  <si>
    <t>01020159BD04D9434505F27844F521813B0ED82A1248</t>
  </si>
  <si>
    <t>LV-2</t>
  </si>
  <si>
    <t>59BD04D9434505F27844F521813B0ED82A1249</t>
  </si>
  <si>
    <t>01020159BD04D9434505F27844F521813B0ED82A1249</t>
  </si>
  <si>
    <t>LV-R</t>
  </si>
  <si>
    <t>59BD04D9434505F27844F521813B0ED82A1366</t>
  </si>
  <si>
    <t>01020159BD04D9434505F27844F521813B0ED82A1366</t>
  </si>
  <si>
    <t>설치비</t>
  </si>
  <si>
    <t>59BD04D9434505F27844F521813B0ED82A1367</t>
  </si>
  <si>
    <t>01020159BD04D9434505F27844F521813B0ED82A1367</t>
  </si>
  <si>
    <t>조달수수료</t>
  </si>
  <si>
    <t>1억원초과 ~ 10억원까지 0.76%</t>
  </si>
  <si>
    <t>5F8EC49E238505677B46C060FE9D001</t>
  </si>
  <si>
    <t>0102015F8EC49E238505677B46C060FE9D001</t>
  </si>
  <si>
    <t>0103</t>
  </si>
  <si>
    <t>4</t>
  </si>
  <si>
    <t>010301</t>
  </si>
  <si>
    <t>59BD04D9434505F27844F521813B0ED82A1364</t>
  </si>
  <si>
    <t>01030159BD04D9434505F27844F521813B0ED82A1364</t>
  </si>
  <si>
    <t>59BD04D9434505F27844F521813B0ED8286856</t>
  </si>
  <si>
    <t>01030159BD04D9434505F27844F521813B0ED8286856</t>
  </si>
  <si>
    <t>59BD04D9434505F27844F521813B0ED8286B11</t>
  </si>
  <si>
    <t>01030159BD04D9434505F27844F521813B0ED8286B11</t>
  </si>
  <si>
    <t>59BD04D9434505F27844F521813B0ED8286B17</t>
  </si>
  <si>
    <t>01030159BD04D9434505F27844F521813B0ED8286B17</t>
  </si>
  <si>
    <t>59BD04D9434505F27844F521813B0ED8286B13</t>
  </si>
  <si>
    <t>01030159BD04D9434505F27844F521813B0ED8286B13</t>
  </si>
  <si>
    <t>59BD04D9434505F27844F521813B0ED8297D2C</t>
  </si>
  <si>
    <t>01030159BD04D9434505F27844F521813B0ED8297D2C</t>
  </si>
  <si>
    <t>2천만원초과 ~ 5천만원까지</t>
  </si>
  <si>
    <t>0103015F8EC49E238505677B46C060FE9D001</t>
  </si>
  <si>
    <t>010302</t>
  </si>
  <si>
    <t>"A"TYPE</t>
  </si>
  <si>
    <t>LED 40W (LED 슬림매입등)300x1200</t>
  </si>
  <si>
    <t>59BD04D94371053EB94C6E35439D9F16C571EE</t>
  </si>
  <si>
    <t>01030259BD04D94371053EB94C6E35439D9F16C571EE</t>
  </si>
  <si>
    <t>"B"TYPE</t>
  </si>
  <si>
    <t>LED 40W (LED 슬림직부등)300x1200</t>
  </si>
  <si>
    <t>59BD04D94371053EB94C6E35439D9F16C570C6</t>
  </si>
  <si>
    <t>01030259BD04D94371053EB94C6E35439D9F16C570C6</t>
  </si>
  <si>
    <t>"C"TYPE</t>
  </si>
  <si>
    <t>LED 15W (LED 다운라이트)</t>
  </si>
  <si>
    <t>59BD04D94371053EB94C6E35439D9F16C570C5</t>
  </si>
  <si>
    <t>01030259BD04D94371053EB94C6E35439D9F16C570C5</t>
  </si>
  <si>
    <t>"D"TYPE</t>
  </si>
  <si>
    <t>LED 15W (LED 원형직부등)</t>
  </si>
  <si>
    <t>59BD04D94371053EB94C6E35439D9F16C570C4</t>
  </si>
  <si>
    <t>01030259BD04D94371053EB94C6E35439D9F16C570C4</t>
  </si>
  <si>
    <t>"E"TYPE</t>
  </si>
  <si>
    <t>LED 15W (LED 벽부등)</t>
  </si>
  <si>
    <t>59BD04D94371053EB94C6E35439D9F16C570C3</t>
  </si>
  <si>
    <t>01030259BD04D94371053EB94C6E35439D9F16C570C3</t>
  </si>
  <si>
    <t>"F"TYPE</t>
  </si>
  <si>
    <t>LED 12W (LED 센서등)</t>
  </si>
  <si>
    <t>59BD04D94371053EB94C6E35439D9F16C570C2</t>
  </si>
  <si>
    <t>01030259BD04D94371053EB94C6E35439D9F16C570C2</t>
  </si>
  <si>
    <t>공급가액의 0.54%</t>
  </si>
  <si>
    <t>0103025F8EC49E238505677B46C060FE9D001</t>
  </si>
  <si>
    <t>0104</t>
  </si>
  <si>
    <t>5</t>
  </si>
  <si>
    <t>010401</t>
  </si>
  <si>
    <t>사용전검사 수수료</t>
  </si>
  <si>
    <t>5F2114980326056D8A413A893762A15137EBF8</t>
  </si>
  <si>
    <t>0104015F2114980326056D8A413A893762A15137EBF8</t>
  </si>
  <si>
    <t>재해예방기술지도 수수료</t>
  </si>
  <si>
    <t>010402</t>
  </si>
  <si>
    <t>5F2114980326056D8A413A893762A15137EAD4</t>
  </si>
  <si>
    <t>0104025F2114980326056D8A413A893762A15137EAD4</t>
  </si>
  <si>
    <t>0105</t>
  </si>
  <si>
    <t>6</t>
  </si>
  <si>
    <t>겐트리(다차로구조물)</t>
  </si>
  <si>
    <t>제작, 기초공사, 접지공사 포함</t>
  </si>
  <si>
    <t>59BD94354332052BB448C92F7BC34FA3C75A07</t>
  </si>
  <si>
    <t>010559BD94354332052BB448C92F7BC34FA3C75A07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</si>
  <si>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</si>
  <si>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</si>
  <si>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</si>
  <si>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</si>
  <si>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</si>
  <si>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</si>
  <si>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</si>
  <si>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</si>
  <si>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</si>
  <si>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</si>
  <si>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</si>
  <si>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</si>
  <si>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</si>
  <si>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</si>
  <si>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</si>
  <si>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</si>
  <si>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</si>
  <si>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</si>
  <si>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</si>
  <si>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</si>
  <si>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파상형 경질폴리에틸렌 전선관  80mm  m     ( 호표 1 )</t>
  </si>
  <si>
    <t>파상형경질폴리에틸렌전선관</t>
  </si>
  <si>
    <t>59BD04D943560546DA4DF4059EE0CD25C7313E</t>
  </si>
  <si>
    <t>5ED994E0632C05A58C44EC7258E7B559BD04D943560546DA4DF4059EE0CD25C7313E</t>
  </si>
  <si>
    <t>전선관부속품</t>
  </si>
  <si>
    <t>전선관의 15%</t>
  </si>
  <si>
    <t>5ED994E0632C05A58C44EC7258E7B55F8EC49E238505677B46C060FE9E002</t>
  </si>
  <si>
    <t>소모잡자재</t>
  </si>
  <si>
    <t>배관배선의 2%</t>
  </si>
  <si>
    <t>5F8EC49E238505677B46C060FE9E002</t>
  </si>
  <si>
    <t>5ED994E0632C05A58C44EC7258E7B55F8EC49E238505677B46C060FE9F003</t>
  </si>
  <si>
    <t>보통인부</t>
  </si>
  <si>
    <t>일반공사 직종</t>
  </si>
  <si>
    <t>인</t>
  </si>
  <si>
    <t>5E48649BA312059493492DA425E3C8A9219B85</t>
  </si>
  <si>
    <t>5ED994E0632C05A58C44EC7258E7B55E48649BA312059493492DA425E3C8A9219B85</t>
  </si>
  <si>
    <t>배전전공</t>
  </si>
  <si>
    <t>5E48649BA312059493492DA425E3C8A92193B0</t>
  </si>
  <si>
    <t>5ED994E0632C05A58C44EC7258E7B55E48649BA312059493492DA425E3C8A92193B0</t>
  </si>
  <si>
    <t>공구손료</t>
  </si>
  <si>
    <t>노무비의 3%</t>
  </si>
  <si>
    <t>5F8EC49E238505677B46C060FE9F003</t>
  </si>
  <si>
    <t>5ED994E0632C05A58C44EC7258E7B55F8EC49E238505677B46C060FE98004</t>
  </si>
  <si>
    <t xml:space="preserve"> [ 합          계 ]</t>
  </si>
  <si>
    <t>절연전선  F-GV, 150㎟, 관내포설  m     ( 호표 2 )</t>
  </si>
  <si>
    <t>절연전선및피복선</t>
  </si>
  <si>
    <t>접지용비닐절연전선, F-GV, 150㎟</t>
  </si>
  <si>
    <t>59A344B813EF05160541291C4BCB9380C226D3</t>
  </si>
  <si>
    <t>5ED9D47E33F405936E444F4902985559A344B813EF05160541291C4BCB9380C226D3</t>
  </si>
  <si>
    <t>5ED9D47E33F405936E444F490298555F8EC49E238505677B46C060FE9F003</t>
  </si>
  <si>
    <t>내선전공</t>
  </si>
  <si>
    <t>5E48649BA312059493492DA425E3C8A9219CA8</t>
  </si>
  <si>
    <t>5ED9D47E33F405936E444F490298555E48649BA312059493492DA425E3C8A9219CA8</t>
  </si>
  <si>
    <t>인력품의 3%</t>
  </si>
  <si>
    <t>5ED9D47E33F405936E444F490298555F8EC49E238505677B46C060FE98004</t>
  </si>
  <si>
    <t>전주입상관  특고압용  개소     ( 호표 3 )</t>
  </si>
  <si>
    <t>지중선용가선철물</t>
  </si>
  <si>
    <t>전주용입상관, D130×2m</t>
  </si>
  <si>
    <t>59BD04D9434505C5324CE1AA8DAD0634C512EB</t>
  </si>
  <si>
    <t>5ED984FD83030590FD4B6B4892E4ED59BD04D9434505C5324CE1AA8DAD0634C512EB</t>
  </si>
  <si>
    <t>5ED984FD83030590FD4B6B4892E4ED5E48649BA312059493492DA425E3C8A9219B85</t>
  </si>
  <si>
    <t>5ED984FD83030590FD4B6B4892E4ED5E48649BA312059493492DA425E3C8A92193B0</t>
  </si>
  <si>
    <t>5ED984FD83030590FD4B6B4892E4ED5F8EC49E238505677B46C060FE9D001</t>
  </si>
  <si>
    <t>파상형 경질폴리에틸렌 전선관  125mm  m     ( 호표 4 )</t>
  </si>
  <si>
    <t>59BD04D943560546DA4DF4059EE0CD25C7313C</t>
  </si>
  <si>
    <t>5ED994E0632C05FDBE44617D46C6EF59BD04D943560546DA4DF4059EE0CD25C7313C</t>
  </si>
  <si>
    <t>5ED994E0632C05FDBE44617D46C6EF5F8EC49E238505677B46C060FE9E002</t>
  </si>
  <si>
    <t>배관,배선의 2%</t>
  </si>
  <si>
    <t>5ED994E0632C05FDBE44617D46C6EF5F8EC49E238505677B46C060FE9F003</t>
  </si>
  <si>
    <t>5ED994E0632C05FDBE44617D46C6EF5E48649BA312059493492DA425E3C8A9219B85</t>
  </si>
  <si>
    <t>5ED994E0632C05FDBE44617D46C6EF5E48649BA312059493492DA425E3C8A92193B0</t>
  </si>
  <si>
    <t>5ED994E0632C05FDBE44617D46C6EF5F8EC49E238505677B46C060FE98004</t>
  </si>
  <si>
    <t>관로구방수  ø125  개     ( 호표 5 )</t>
  </si>
  <si>
    <t>전선관피팅</t>
  </si>
  <si>
    <t>관구밀폐기, 실링가스켓, D125</t>
  </si>
  <si>
    <t>59BD04D943560546DA4DFAAEA1349E5D674BC3</t>
  </si>
  <si>
    <t>5ED994EC13B205C7524B6045FF0C3259BD04D943560546DA4DFAAEA1349E5D674BC3</t>
  </si>
  <si>
    <t>관구밀폐기</t>
  </si>
  <si>
    <t>관구밀폐기, 이종연결관, Φ125mm</t>
  </si>
  <si>
    <t>59BD04D943560546DA4DFAAEA027188DE702AE</t>
  </si>
  <si>
    <t>5ED994EC13B205C7524B6045FF0C3259BD04D943560546DA4DFAAEA027188DE702AE</t>
  </si>
  <si>
    <t>통신용발포지수제</t>
  </si>
  <si>
    <t>통신용발포지수제, 발포지수제, D150이하</t>
  </si>
  <si>
    <t>59BD04D9434505F25D4F7C29C1250E50261B60</t>
  </si>
  <si>
    <t>5ED994EC13B205C7524B6045FF0C3259BD04D9434505F25D4F7C29C1250E50261B60</t>
  </si>
  <si>
    <t>통신용발포지수제, 수밀보호테이프</t>
  </si>
  <si>
    <t>59BD04D9434505F25D4F7C29C128C13DC9DFC8</t>
  </si>
  <si>
    <t>5ED994EC13B205C7524B6045FF0C3259BD04D9434505F25D4F7C29C128C13DC9DFC8</t>
  </si>
  <si>
    <t>5ED994EC13B205C7524B6045FF0C325E48649BA312059493492DA425E3C8A9219B85</t>
  </si>
  <si>
    <t>특고압케이블전공</t>
  </si>
  <si>
    <t>5E48649BA312059493492DA425E3C8A9219CAB</t>
  </si>
  <si>
    <t>5ED994EC13B205C7524B6045FF0C325E48649BA312059493492DA425E3C8A9219CAB</t>
  </si>
  <si>
    <t>5ED994EC13B205C7524B6045FF0C325F8EC49E238505677B46C060FE9D001</t>
  </si>
  <si>
    <t>맨홀  2,000*1,500*1,500  개소     ( 호표 6 )</t>
  </si>
  <si>
    <t>터파기(기계9:1)</t>
  </si>
  <si>
    <t>보통토사.백호90%+인력10%</t>
  </si>
  <si>
    <t>호표 85</t>
  </si>
  <si>
    <t>5E975467E3D905992646AD78D308CA</t>
  </si>
  <si>
    <t>5ED9749463430510F841DF09D281065E975467E3D905992646AD78D308CA</t>
  </si>
  <si>
    <t>되메우기</t>
  </si>
  <si>
    <t>토사,인력</t>
  </si>
  <si>
    <t>호표 86</t>
  </si>
  <si>
    <t>5E975461432C058C87426A2BF8C4D0</t>
  </si>
  <si>
    <t>5ED9749463430510F841DF09D281065E975461432C058C87426A2BF8C4D0</t>
  </si>
  <si>
    <t>현장내잔토처리</t>
  </si>
  <si>
    <t>소운반.고르기</t>
  </si>
  <si>
    <t>호표 87</t>
  </si>
  <si>
    <t>5E975461432C058CCE4C6BF4E16E80</t>
  </si>
  <si>
    <t>5ED9749463430510F841DF09D281065E975461432C058CCE4C6BF4E16E80</t>
  </si>
  <si>
    <t>잡석깔기지정</t>
  </si>
  <si>
    <t>떨공이다지기</t>
  </si>
  <si>
    <t>호표 88</t>
  </si>
  <si>
    <t>5E97447F838E057E3B45235E45A008</t>
  </si>
  <si>
    <t>5ED9749463430510F841DF09D281065E97447F838E057E3B45235E45A008</t>
  </si>
  <si>
    <t>핸드홀카바</t>
  </si>
  <si>
    <t>주철각형(1120x680x132)</t>
  </si>
  <si>
    <t>조</t>
  </si>
  <si>
    <t>59BD9435438A054B0540E3D636E2E225140081</t>
  </si>
  <si>
    <t>5ED9749463430510F841DF09D2810659BD9435438A054B0540E3D636E2E225140081</t>
  </si>
  <si>
    <t>핸드홀</t>
  </si>
  <si>
    <t>2000x1500x1500</t>
  </si>
  <si>
    <t>59BD9435438A054B0540E3D636E2E2251401AF</t>
  </si>
  <si>
    <t>5ED9749463430510F841DF09D2810659BD9435438A054B0540E3D636E2E2251401AF</t>
  </si>
  <si>
    <t>접지장치또는조립품</t>
  </si>
  <si>
    <t>접지봉, 14Φ×1000mm</t>
  </si>
  <si>
    <t>59BD04D9434505F205441DF8005D9C825F57D0</t>
  </si>
  <si>
    <t>5ED9749463430510F841DF09D2810659BD04D9434505F205441DF8005D9C825F57D0</t>
  </si>
  <si>
    <t>접지용비닐절연전선</t>
  </si>
  <si>
    <t>F-GV, 35㎟</t>
  </si>
  <si>
    <t>59A344B813EF05160541291C4BCB9380C226D4</t>
  </si>
  <si>
    <t>5ED9749463430510F841DF09D2810659A344B813EF05160541291C4BCB9380C226D4</t>
  </si>
  <si>
    <t>전기용행어</t>
  </si>
  <si>
    <t>케이블받침대, 75×40×5×750mm</t>
  </si>
  <si>
    <t>59BD04D9434505F2174B2972C19D4614AC184A</t>
  </si>
  <si>
    <t>5ED9749463430510F841DF09D2810659BD04D9434505F2174B2972C19D4614AC184A</t>
  </si>
  <si>
    <t>케이블걸이, 걸이쇠, 2조</t>
  </si>
  <si>
    <t>59BD04D9434505F2174B2972C19D4613819ACF</t>
  </si>
  <si>
    <t>5ED9749463430510F841DF09D2810659BD04D9434505F2174B2972C19D4613819ACF</t>
  </si>
  <si>
    <t>지중선용가선철물, 맨홀용훅크, 100×250mm</t>
  </si>
  <si>
    <t>59BD04D9434505C5324CE1AA8DAD0634C515BA</t>
  </si>
  <si>
    <t>5ED9749463430510F841DF09D2810659BD04D9434505C5324CE1AA8DAD0634C515BA</t>
  </si>
  <si>
    <t>지중선용가선철물, 맨홀용발판볼트, 200×330mm</t>
  </si>
  <si>
    <t>59BD04D9434505C5324CE1AA8DAD0634C515BB</t>
  </si>
  <si>
    <t>5ED9749463430510F841DF09D2810659BD04D9434505C5324CE1AA8DAD0634C515BB</t>
  </si>
  <si>
    <t>5ED9749463430510F841DF09D281065E48649BA312059493492DA425E3C8A9219CA8</t>
  </si>
  <si>
    <t>5ED9749463430510F841DF09D281065E48649BA312059493492DA425E3C8A9219B85</t>
  </si>
  <si>
    <t>저압케이블전공</t>
  </si>
  <si>
    <t>5E48649BA312059493492DA425E3C8A9219CA5</t>
  </si>
  <si>
    <t>5ED9749463430510F841DF09D281065E48649BA312059493492DA425E3C8A9219CA5</t>
  </si>
  <si>
    <t>줄눈공</t>
  </si>
  <si>
    <t>5E48649BA312059493492DA425E3C8A9219836</t>
  </si>
  <si>
    <t>5ED9749463430510F841DF09D281065E48649BA312059493492DA425E3C8A9219836</t>
  </si>
  <si>
    <t>철공</t>
  </si>
  <si>
    <t>5E48649BA312059493492DA425E3C8A9219B8E</t>
  </si>
  <si>
    <t>5ED9749463430510F841DF09D281065E48649BA312059493492DA425E3C8A9219B8E</t>
  </si>
  <si>
    <t>특별인부</t>
  </si>
  <si>
    <t>5E48649BA312059493492DA425E3C8A9219B84</t>
  </si>
  <si>
    <t>5ED9749463430510F841DF09D281065E48649BA312059493492DA425E3C8A9219B84</t>
  </si>
  <si>
    <t>변전전공</t>
  </si>
  <si>
    <t>기타 직종</t>
  </si>
  <si>
    <t>5E48649BA3120594934929C955134E67D0A9BC</t>
  </si>
  <si>
    <t>5ED9749463430510F841DF09D281065E48649BA3120594934929C955134E67D0A9BC</t>
  </si>
  <si>
    <t>전력케이블  FR-CN/CO-W, 22.9KV, 1C 60㎟, 3열포설 1열당  m     ( 호표 7 )</t>
  </si>
  <si>
    <t>FR-CNCO-W, 수밀형무독성난연, 22.9kV, 60㎟</t>
  </si>
  <si>
    <t>59A344B813EF0516324A0471957AB09866416C</t>
  </si>
  <si>
    <t>5ED9E46193E9056D6840F4BC4E2DED59A344B813EF0516324A0471957AB09866416C</t>
  </si>
  <si>
    <t>5ED9E46193E9056D6840F4BC4E2DED5F8EC49E238505677B46C060FE9F003</t>
  </si>
  <si>
    <t>5ED9E46193E9056D6840F4BC4E2DED5E48649BA312059493492DA425E3C8A9219CAB</t>
  </si>
  <si>
    <t>5ED9E46193E9056D6840F4BC4E2DED5E48649BA312059493492DA425E3C8A9219B85</t>
  </si>
  <si>
    <t>5ED9E46193E9056D6840F4BC4E2DED5F8EC49E238505677B46C060FE98004</t>
  </si>
  <si>
    <t>케이블단말접속자재  자기수축, 23KV, 1C, 60-70㎟, 구내  Kit     ( 호표 8 )</t>
  </si>
  <si>
    <t>케이블단말접속자재, 자기수축, 23kV, 1C×60㎟</t>
  </si>
  <si>
    <t>59BD04D9434505F22042F35ABC3D495F0581D9</t>
  </si>
  <si>
    <t>5ED9E46B93BB059652431E849B12B059BD04D9434505F22042F35ABC3D495F0581D9</t>
  </si>
  <si>
    <t>5ED9E46B93BB059652431E849B12B05E48649BA312059493492DA425E3C8A9219CAB</t>
  </si>
  <si>
    <t>5ED9E46B93BB059652431E849B12B05F8EC49E238505677B46C060FE98004</t>
  </si>
  <si>
    <t>접지봉  14Φ×1000mm  개소     ( 호표 9 )</t>
  </si>
  <si>
    <t>5ED9D47C03E605A4F241FEA84595D659BD04D9434505F205441DF8005D9C825F57D0</t>
  </si>
  <si>
    <t>5ED9D47C03E605A4F241FEA84595D65E48649BA312059493492DA425E3C8A9219CA8</t>
  </si>
  <si>
    <t>5ED9D47C03E605A4F241FEA84595D65E48649BA312059493492DA425E3C8A9219B85</t>
  </si>
  <si>
    <t>5ED9D47C03E605A4F241FEA84595D65F8EC49E238505677B46C060FE98004</t>
  </si>
  <si>
    <t>모래깔기지정  인력  ㎥     ( 호표 10 )</t>
  </si>
  <si>
    <t>모래</t>
  </si>
  <si>
    <t>모래(별도)</t>
  </si>
  <si>
    <t>별도</t>
  </si>
  <si>
    <t>5992D44623490595DC4E5FCFD4B966F84CD84E</t>
  </si>
  <si>
    <t>5E97447F83A90555F74574794298B65992D44623490595DC4E5FCFD4B966F84CD84E</t>
  </si>
  <si>
    <t>5E97447F83A90555F74574794298B65E48649BA312059493492DA425E3C8A9219B85</t>
  </si>
  <si>
    <t>노무비의2%</t>
  </si>
  <si>
    <t>5E97447F83A90555F74574794298B65F8EC49E238505677B46C060FE9D001</t>
  </si>
  <si>
    <t>맨홀  1,000*1,000*1,000  개소     ( 호표 11 )</t>
  </si>
  <si>
    <t>5ED9749463430510F841DF09D283335E975467E3D905992646AD78D308CA</t>
  </si>
  <si>
    <t>5ED9749463430510F841DF09D283335E975461432C058C87426A2BF8C4D0</t>
  </si>
  <si>
    <t>5ED9749463430510F841DF09D283335E975461432C058CCE4C6BF4E16E80</t>
  </si>
  <si>
    <t>5ED9749463430510F841DF09D283335E97447F838E057E3B45235E45A008</t>
  </si>
  <si>
    <t>5ED9749463430510F841DF09D2833359BD9435438A054B0540E3D636E2E225140081</t>
  </si>
  <si>
    <t>1000x1000x1000</t>
  </si>
  <si>
    <t>59BD9435438A054B0540E3D636E2E2251401A1</t>
  </si>
  <si>
    <t>5ED9749463430510F841DF09D2833359BD9435438A054B0540E3D636E2E2251401A1</t>
  </si>
  <si>
    <t>5ED9749463430510F841DF09D2833359BD04D9434505F205441DF8005D9C825F57D0</t>
  </si>
  <si>
    <t>5ED9749463430510F841DF09D2833359A344B813EF05160541291C4BCB9380C226D4</t>
  </si>
  <si>
    <t>5ED9749463430510F841DF09D2833359BD04D9434505F2174B2972C19D4614AC184A</t>
  </si>
  <si>
    <t>5ED9749463430510F841DF09D2833359BD04D9434505F2174B2972C19D4613819ACF</t>
  </si>
  <si>
    <t>5ED9749463430510F841DF09D2833359BD04D9434505C5324CE1AA8DAD0634C515BA</t>
  </si>
  <si>
    <t>5ED9749463430510F841DF09D2833359BD04D9434505C5324CE1AA8DAD0634C515BB</t>
  </si>
  <si>
    <t>5ED9749463430510F841DF09D283335E48649BA312059493492DA425E3C8A9219CA8</t>
  </si>
  <si>
    <t>5ED9749463430510F841DF09D283335E48649BA312059493492DA425E3C8A9219B85</t>
  </si>
  <si>
    <t>5ED9749463430510F841DF09D283335E48649BA312059493492DA425E3C8A9219CA5</t>
  </si>
  <si>
    <t>5ED9749463430510F841DF09D283335E48649BA312059493492DA425E3C8A9219836</t>
  </si>
  <si>
    <t>5ED9749463430510F841DF09D283335E48649BA312059493492DA425E3C8A9219B8E</t>
  </si>
  <si>
    <t>5ED9749463430510F841DF09D283335E48649BA312059493492DA425E3C8A9219B84</t>
  </si>
  <si>
    <t>5ED9749463430510F841DF09D283335E48649BA3120594934929C955134E67D0A9BC</t>
  </si>
  <si>
    <t>경질비닐전선관  22mm, 매입  m     ( 호표 12 )</t>
  </si>
  <si>
    <t>HI, 22mm</t>
  </si>
  <si>
    <t>59BD04D943560546DA4DF4059EE0CD2432C50E</t>
  </si>
  <si>
    <t>5ED994E3338505400A48116F64D17359BD04D943560546DA4DF4059EE0CD2432C50E</t>
  </si>
  <si>
    <t>5ED994E3338505400A48116F64D1735F8EC49E238505677B46C060FE9E002</t>
  </si>
  <si>
    <t>5ED994E3338505400A48116F64D1735F8EC49E238505677B46C060FE9F003</t>
  </si>
  <si>
    <t>5ED994E3338505400A48116F64D1735E48649BA312059493492DA425E3C8A9219CA8</t>
  </si>
  <si>
    <t>5ED994E3338505400A48116F64D1735F8EC49E238505677B46C060FE98004</t>
  </si>
  <si>
    <t>경질비닐전선관  28mm, 매입  m     ( 호표 13 )</t>
  </si>
  <si>
    <t>HI, 28mm</t>
  </si>
  <si>
    <t>59BD04D943560546DA4DF4059EE0CD2432C50F</t>
  </si>
  <si>
    <t>5ED994E3338505379D45ABAB55FDF359BD04D943560546DA4DF4059EE0CD2432C50F</t>
  </si>
  <si>
    <t>5ED994E3338505379D45ABAB55FDF35F8EC49E238505677B46C060FE9E002</t>
  </si>
  <si>
    <t>5ED994E3338505379D45ABAB55FDF35F8EC49E238505677B46C060FE9F003</t>
  </si>
  <si>
    <t>5ED994E3338505379D45ABAB55FDF35E48649BA312059493492DA425E3C8A9219CA8</t>
  </si>
  <si>
    <t>5ED994E3338505379D45ABAB55FDF35F8EC49E238505677B46C060FE98004</t>
  </si>
  <si>
    <t>파상형 경질폴리에틸렌 전선관  100mm  m     ( 호표 14 )</t>
  </si>
  <si>
    <t>59BD04D943560546DA4DF4059EE0CD25C7313D</t>
  </si>
  <si>
    <t>5ED994E0632C058AA64805C763C51859BD04D943560546DA4DF4059EE0CD25C7313D</t>
  </si>
  <si>
    <t>5ED994E0632C058AA64805C763C5185F8EC49E238505677B46C060FE9E002</t>
  </si>
  <si>
    <t>5ED994E0632C058AA64805C763C5185F8EC49E238505677B46C060FE9F003</t>
  </si>
  <si>
    <t>5ED994E0632C058AA64805C763C5185E48649BA312059493492DA425E3C8A9219B85</t>
  </si>
  <si>
    <t>5ED994E0632C058AA64805C763C5185E48649BA312059493492DA425E3C8A92193B0</t>
  </si>
  <si>
    <t>5ED994E0632C058AA64805C763C5185F8EC49E238505677B46C060FE98004</t>
  </si>
  <si>
    <t>풀박스  400X400X300mm, 노출, 천정  개     ( 호표 15 )</t>
  </si>
  <si>
    <t>400×400×300mm</t>
  </si>
  <si>
    <t>59BD04D9434505F25D461BE495C2EFD463AEA4</t>
  </si>
  <si>
    <t>5ED994EEC3790513764CAF4AFE62FA59BD04D9434505F25D461BE495C2EFD463AEA4</t>
  </si>
  <si>
    <t>5ED994EEC3790513764CAF4AFE62FA5E48649BA312059493492DA425E3C8A9219CA8</t>
  </si>
  <si>
    <t>5ED994EEC3790513764CAF4AFE62FA5F8EC49E238505677B46C060FE98004</t>
  </si>
  <si>
    <t>관로구방수  ø100  1개     ( 호표 16 )</t>
  </si>
  <si>
    <t>관구밀폐기, 실링가스켓, D100</t>
  </si>
  <si>
    <t>59BD04D943560546DA4DFAAEA1349E5D674A35</t>
  </si>
  <si>
    <t>5ED994EC13B205FC9249512EC0690B59BD04D943560546DA4DFAAEA1349E5D674A35</t>
  </si>
  <si>
    <t>관구밀폐기, 이종연결관, Φ100mm</t>
  </si>
  <si>
    <t>59BD04D943560546DA4DFAAEA13CECFED448E3</t>
  </si>
  <si>
    <t>5ED994EC13B205FC9249512EC0690B59BD04D943560546DA4DFAAEA13CECFED448E3</t>
  </si>
  <si>
    <t>통신용발포지수제, 발포지수재, D100이하</t>
  </si>
  <si>
    <t>59BD04D9434505F25D4F7C29C1250E50261B61</t>
  </si>
  <si>
    <t>5ED994EC13B205FC9249512EC0690B59BD04D9434505F25D4F7C29C1250E50261B61</t>
  </si>
  <si>
    <t>5ED994EC13B205FC9249512EC0690B59BD04D9434505F25D4F7C29C128C13DC9DFC8</t>
  </si>
  <si>
    <t>5ED994EC13B205FC9249512EC0690B5E48649BA312059493492DA425E3C8A9219CAB</t>
  </si>
  <si>
    <t>5ED994EC13B205FC9249512EC0690B5E48649BA312059493492DA425E3C8A9219B85</t>
  </si>
  <si>
    <t>5ED994EC13B205FC9249512EC0690B5F8EC49E238505677B46C060FE98004</t>
  </si>
  <si>
    <t>전력케이블  F-CV, 0.6/1kV, 1C 240㎟  m     ( 호표 17 )</t>
  </si>
  <si>
    <t>600V폴리에틸렌케이블, 0.6/1kV, F-CV, 1C×240㎟</t>
  </si>
  <si>
    <t>59A344B813EF0516324A0472BC02388E33C207</t>
  </si>
  <si>
    <t>5ED9E46193DF05696D4DFB439A0F7659A344B813EF0516324A0472BC02388E33C207</t>
  </si>
  <si>
    <t>5ED9E46193DF05696D4DFB439A0F765F8EC49E238505677B46C060FE9F003</t>
  </si>
  <si>
    <t>5ED9E46193DF05696D4DFB439A0F765E48649BA312059493492DA425E3C8A9219CA5</t>
  </si>
  <si>
    <t>5ED9E46193DF05696D4DFB439A0F765F8EC49E238505677B46C060FE98004</t>
  </si>
  <si>
    <t>압착단자  압착터미널, 35㎟, 1C 구내  개소     ( 호표 18 )</t>
  </si>
  <si>
    <t>터미널, 35㎟</t>
  </si>
  <si>
    <t>59BD04D9434505F22041D6B386886DE7CF4649</t>
  </si>
  <si>
    <t>5ED9E476A38A05BF324C9623679EBD59BD04D9434505F22041D6B386886DE7CF4649</t>
  </si>
  <si>
    <t>5ED9E476A38A05BF324C9623679EBD5E48649BA312059493492DA425E3C8A9219CA5</t>
  </si>
  <si>
    <t>5ED9E476A38A05BF324C9623679EBD5F8EC49E238505677B46C060FE98004</t>
  </si>
  <si>
    <t>압착단자  압착터미널, 150㎟, 1C 구내  개소     ( 호표 19 )</t>
  </si>
  <si>
    <t>터미널, 150㎟</t>
  </si>
  <si>
    <t>59BD04D9434505F22041D6B386886DE7CF464D</t>
  </si>
  <si>
    <t>5ED9E47743E7053DA74D6CDAC5030259BD04D9434505F22041D6B386886DE7CF464D</t>
  </si>
  <si>
    <t>0.68*(0.3*1.2)</t>
  </si>
  <si>
    <t>5ED9E47743E7053DA74D6CDAC503025E48649BA312059493492DA425E3C8A9219CA5</t>
  </si>
  <si>
    <t>5ED9E47743E7053DA74D6CDAC503025F8EC49E238505677B46C060FE98004</t>
  </si>
  <si>
    <t>러그단자  동관단자 2홀, 240㎟, 1C 구내  개소     ( 호표 20 )</t>
  </si>
  <si>
    <t>러그단자, 동관단자, 2홀, 250㎟</t>
  </si>
  <si>
    <t>59BD04D9434505F22041D6B03397F25C4C7015</t>
  </si>
  <si>
    <t>5ED9E47743D60580FC441B13771A9E59BD04D9434505F22041D6B03397F25C4C7015</t>
  </si>
  <si>
    <t>0.77*(0.3*1.2)</t>
  </si>
  <si>
    <t>5ED9E47743D60580FC441B13771A9E5E48649BA312059493492DA425E3C8A9219CA5</t>
  </si>
  <si>
    <t>5ED9E47743D60580FC441B13771A9E5F8EC49E238505677B46C060FE98004</t>
  </si>
  <si>
    <t>절연전선  F-GV, 16㎟, 관내포설  m     ( 호표 21 )</t>
  </si>
  <si>
    <t>접지용비닐절연전선, F-GV, 16㎟</t>
  </si>
  <si>
    <t>59A344B813EF05160541291C4BCB9380C3C42B</t>
  </si>
  <si>
    <t>5ED9D47E33F305FCA941C7657E382159A344B813EF05160541291C4BCB9380C3C42B</t>
  </si>
  <si>
    <t>5ED9D47E33F305FCA941C7657E38215F8EC49E238505677B46C060FE9F003</t>
  </si>
  <si>
    <t>5ED9D47E33F305FCA941C7657E38215F8EC49E238505677B46C060FE98004</t>
  </si>
  <si>
    <t>5ED9D47E33F305FCA941C7657E38215E48649BA312059493492DA425E3C8A9219CA8</t>
  </si>
  <si>
    <t>절연전선  F-GV, 25㎟, 관내포설  m     ( 호표 22 )</t>
  </si>
  <si>
    <t>F-GV, 25㎟</t>
  </si>
  <si>
    <t>59A344B813EF05160541291C4BCB9380C226D5</t>
  </si>
  <si>
    <t>5ED9D47E33F305C7EE494EA0D1779859A344B813EF05160541291C4BCB9380C226D5</t>
  </si>
  <si>
    <t>5ED9D47E33F305C7EE494EA0D177985F8EC49E238505677B46C060FE9F003</t>
  </si>
  <si>
    <t>5ED9D47E33F305C7EE494EA0D177985E48649BA312059493492DA425E3C8A9219CA8</t>
  </si>
  <si>
    <t>5ED9D47E33F305C7EE494EA0D177985F8EC49E238505677B46C060FE98004</t>
  </si>
  <si>
    <t>절연전선  F-GV, 35㎟, 관내포설  m     ( 호표 23 )</t>
  </si>
  <si>
    <t>5ED9D47E33F305D07648E28F1BA7B659A344B813EF05160541291C4BCB9380C226D4</t>
  </si>
  <si>
    <t>5ED9D47E33F305D07648E28F1BA7B65F8EC49E238505677B46C060FE9F003</t>
  </si>
  <si>
    <t>5ED9D47E33F305D07648E28F1BA7B65E48649BA312059493492DA425E3C8A9219CA8</t>
  </si>
  <si>
    <t>5ED9D47E33F305D07648E28F1BA7B65F8EC49E238505677B46C060FE98004</t>
  </si>
  <si>
    <t>절연전선  F-GV, 50㎟, 관내포설  m     ( 호표 24 )</t>
  </si>
  <si>
    <t>F-GV, 50㎟</t>
  </si>
  <si>
    <t>59A344B813EF05160541291C4BCB9380C226D7</t>
  </si>
  <si>
    <t>5ED9D47E33F30527254FE207244BDA59A344B813EF05160541291C4BCB9380C226D7</t>
  </si>
  <si>
    <t>5ED9D47E33F30527254FE207244BDA5F8EC49E238505677B46C060FE9F003</t>
  </si>
  <si>
    <t>5ED9D47E33F30527254FE207244BDA5E48649BA312059493492DA425E3C8A9219CA8</t>
  </si>
  <si>
    <t>5ED9D47E33F30527254FE207244BDA5F8EC49E238505677B46C060FE98004</t>
  </si>
  <si>
    <t>절연전선  F-GV, 70㎟, 관내포설  m     ( 호표 25 )</t>
  </si>
  <si>
    <t>F-GV, 70㎟</t>
  </si>
  <si>
    <t>59A344B813EF05160541291C4BCB9380C226D6</t>
  </si>
  <si>
    <t>5ED9D47E33F30531BF46E89E1DB29459A344B813EF05160541291C4BCB9380C226D6</t>
  </si>
  <si>
    <t>5ED9D47E33F30531BF46E89E1DB2945F8EC49E238505677B46C060FE9F003</t>
  </si>
  <si>
    <t>0.008*1.5</t>
  </si>
  <si>
    <t>5ED9D47E33F30531BF46E89E1DB2945E48649BA312059493492DA425E3C8A9219CA8</t>
  </si>
  <si>
    <t>5ED9D47E33F30531BF46E89E1DB2945F8EC49E238505677B46C060FE98004</t>
  </si>
  <si>
    <t>분전함 L-1-A    면     ( 호표 26 )</t>
  </si>
  <si>
    <t>L-1-A</t>
  </si>
  <si>
    <t>0.74*1.3</t>
  </si>
  <si>
    <t>59CE644ED3010546AD4C352F3CE319728E75AA</t>
  </si>
  <si>
    <t>5ED97497334305662E41609DF03D8A59CE644ED3010546AD4C352F3CE319728E75AA</t>
  </si>
  <si>
    <t>5ED97497334305662E41609DF03D8A5E48649BA312059493492DA425E3C8A9219CA8</t>
  </si>
  <si>
    <t>5ED97497334305662E41609DF03D8A5F8EC49E238505677B46C060FE9D001</t>
  </si>
  <si>
    <t>분전함 P-N    면     ( 호표 27 )</t>
  </si>
  <si>
    <t>P-N</t>
  </si>
  <si>
    <t>0.74*3*1.3+0.43*4</t>
  </si>
  <si>
    <t>59CE644ED3010546AD4C352F3CE31973AEEA5E</t>
  </si>
  <si>
    <t>5ED97497334305C8A54E8A78066AEE59CE644ED3010546AD4C352F3CE31973AEEA5E</t>
  </si>
  <si>
    <t>5ED97497334305C8A54E8A78066AEE5E48649BA312059493492DA425E3C8A9219CA8</t>
  </si>
  <si>
    <t>5ED97497334305C8A54E8A78066AEE5F8EC49E238505677B46C060FE9D001</t>
  </si>
  <si>
    <t>분전함 L-1-M    면     ( 호표 28 )</t>
  </si>
  <si>
    <t>L-1-M</t>
  </si>
  <si>
    <t>0.43*26+1.35*2*1.3+1.95*2*1.3+0.74*1.3*3</t>
  </si>
  <si>
    <t>59CE644ED3010546AD4C352F3CE319728E76B1</t>
  </si>
  <si>
    <t>5ED9749733430570B1483E945750CE59CE644ED3010546AD4C352F3CE319728E76B1</t>
  </si>
  <si>
    <t>5ED9749733430570B1483E945750CE5E48649BA312059493492DA425E3C8A9219CA8</t>
  </si>
  <si>
    <t>5ED9749733430570B1483E945750CE5F8EC49E238505677B46C060FE9D001</t>
  </si>
  <si>
    <t>분전함 L-2-M    면     ( 호표 29 )</t>
  </si>
  <si>
    <t>L-2-M</t>
  </si>
  <si>
    <t>1.35*1.3+0.74*2*1.3+0.43*8</t>
  </si>
  <si>
    <t>59CE644ED3010546AD4C352F3CE319728E7481</t>
  </si>
  <si>
    <t>5ED974973343050DB6429DBEBFF3AB59CE644ED3010546AD4C352F3CE319728E7481</t>
  </si>
  <si>
    <t>5ED974973343050DB6429DBEBFF3AB5E48649BA312059493492DA425E3C8A9219CA8</t>
  </si>
  <si>
    <t>5ED974973343050DB6429DBEBFF3AB5F8EC49E238505677B46C060FE9D001</t>
  </si>
  <si>
    <t>분전함 L-3-M    면     ( 호표 30 )</t>
  </si>
  <si>
    <t>L-3-M</t>
  </si>
  <si>
    <t>1.35*1.3+0.74*2*1.3+0.43*12</t>
  </si>
  <si>
    <t>59CE644ED3010546AD4C352F3CE319728E75AC</t>
  </si>
  <si>
    <t>5ED97497334305289D4E1C9CAE941A59CE644ED3010546AD4C352F3CE319728E75AC</t>
  </si>
  <si>
    <t>5ED97497334305289D4E1C9CAE941A5E48649BA312059493492DA425E3C8A9219CA8</t>
  </si>
  <si>
    <t>5ED97497334305289D4E1C9CAE941A5F8EC49E238505677B46C060FE9D001</t>
  </si>
  <si>
    <t>분전함 P-AC    면     ( 호표 31 )</t>
  </si>
  <si>
    <t>P-AC</t>
  </si>
  <si>
    <t>1.95*1.3+0.74*6*1.3+0.54*1.3+0.43*6</t>
  </si>
  <si>
    <t>59CE644ED3010546AD4C352F3CE319728E702C</t>
  </si>
  <si>
    <t>5ED97497334305C8A54E8A78066AE659CE644ED3010546AD4C352F3CE319728E702C</t>
  </si>
  <si>
    <t>5ED97497334305C8A54E8A78066AE65E48649BA312059493492DA425E3C8A9219CA8</t>
  </si>
  <si>
    <t>5ED97497334305C8A54E8A78066AE65F8EC49E238505677B46C060FE9D001</t>
  </si>
  <si>
    <t>강제전선관  아연도, 54mm, 매입(또는 앵커볼트 설치에 따른 노출공사)  m     ( 호표 32 )</t>
  </si>
  <si>
    <t>아연도, 54mm</t>
  </si>
  <si>
    <t>59BD04D943560546DA4DF4059EE0CD2433EA63</t>
  </si>
  <si>
    <t>5ED994E333A005383149C76F9E753159BD04D943560546DA4DF4059EE0CD2433EA63</t>
  </si>
  <si>
    <t>5ED994E333A005383149C76F9E75315F8EC49E238505677B46C060FE9E002</t>
  </si>
  <si>
    <t>5ED994E333A005383149C76F9E75315F8EC49E238505677B46C060FE9F003</t>
  </si>
  <si>
    <t>5ED994E333A005383149C76F9E75315E48649BA312059493492DA425E3C8A9219CA8</t>
  </si>
  <si>
    <t>5ED994E333A005383149C76F9E75315F8EC49E238505677B46C060FE98004</t>
  </si>
  <si>
    <t>강제전선관  아연도, 70mm, 매입(또는 앵커볼트 설치에 따른 노출공사)  m     ( 호표 33 )</t>
  </si>
  <si>
    <t>아연도, 70mm</t>
  </si>
  <si>
    <t>59BD04D943560546DA4DF4059EE0CD2433EA6C</t>
  </si>
  <si>
    <t>5ED994E333A005CE7142F8FEA4031359BD04D943560546DA4DF4059EE0CD2433EA6C</t>
  </si>
  <si>
    <t>5ED994E333A005CE7142F8FEA403135F8EC49E238505677B46C060FE9E002</t>
  </si>
  <si>
    <t>5ED994E333A005CE7142F8FEA403135F8EC49E238505677B46C060FE9F003</t>
  </si>
  <si>
    <t>5ED994E333A005CE7142F8FEA403135E48649BA312059493492DA425E3C8A9219CA8</t>
  </si>
  <si>
    <t>5ED994E333A005CE7142F8FEA403135F8EC49E238505677B46C060FE98004</t>
  </si>
  <si>
    <t>파이프행거  54C  개소     ( 호표 34 )</t>
  </si>
  <si>
    <t>강재전선관용부품</t>
  </si>
  <si>
    <t>파이프행거, 54C</t>
  </si>
  <si>
    <t>59BD04D943560546DA4DFAAD9BEA118D35720B</t>
  </si>
  <si>
    <t>5ED994ED33B8054DA74DDB748F09F059BD04D943560546DA4DFAAD9BEA118D35720B</t>
  </si>
  <si>
    <t>행어볼트</t>
  </si>
  <si>
    <t>행어볼트, ∮9×1000mm</t>
  </si>
  <si>
    <t>59BD842F739105D0264856FF07ABAEFD45814B</t>
  </si>
  <si>
    <t>5ED994ED33B8054DA74DDB748F09F059BD842F739105D0264856FF07ABAEFD45814B</t>
  </si>
  <si>
    <t>스트롱앵커</t>
  </si>
  <si>
    <t>스트롱앵커, M10, 9.5mm</t>
  </si>
  <si>
    <t>59BD842F739105E2B34864546C030FF6368930</t>
  </si>
  <si>
    <t>5ED994ED33B8054DA74DDB748F09F059BD842F739105E2B34864546C030FF6368930</t>
  </si>
  <si>
    <t>육각너트</t>
  </si>
  <si>
    <t>육각너트, M10</t>
  </si>
  <si>
    <t>59BD842F739105D0304A40A0259504A25A9A77</t>
  </si>
  <si>
    <t>5ED994ED33B8054DA74DDB748F09F059BD842F739105D0304A40A0259504A25A9A77</t>
  </si>
  <si>
    <t>스프링와셔</t>
  </si>
  <si>
    <t>용융아연도, 호칭경10mm</t>
  </si>
  <si>
    <t>59BD842F739105D0C6445D0EC02BC6FD347721</t>
  </si>
  <si>
    <t>5ED994ED33B8054DA74DDB748F09F059BD842F739105D0C6445D0EC02BC6FD347721</t>
  </si>
  <si>
    <t>5ED994ED33B8054DA74DDB748F09F05E48649BA312059493492DA425E3C8A9219CA8</t>
  </si>
  <si>
    <t>5ED994ED33B8054DA74DDB748F09F05F8EC49E238505677B46C060FE98004</t>
  </si>
  <si>
    <t>파이프행거  70C  개소     ( 호표 35 )</t>
  </si>
  <si>
    <t>파이프행거, 70C</t>
  </si>
  <si>
    <t>59BD04D943560546DA4DFAAD9BEA118D35720A</t>
  </si>
  <si>
    <t>5ED994ED33B8054DA74DDA6EA4A4BC59BD04D943560546DA4DFAAD9BEA118D35720A</t>
  </si>
  <si>
    <t>5ED994ED33B8054DA74DDA6EA4A4BC59BD842F739105D0264856FF07ABAEFD45814B</t>
  </si>
  <si>
    <t>5ED994ED33B8054DA74DDA6EA4A4BC59BD842F739105E2B34864546C030FF6368930</t>
  </si>
  <si>
    <t>5ED994ED33B8054DA74DDA6EA4A4BC59BD842F739105D0304A40A0259504A25A9A77</t>
  </si>
  <si>
    <t>5ED994ED33B8054DA74DDA6EA4A4BC59BD842F739105D0C6445D0EC02BC6FD347721</t>
  </si>
  <si>
    <t>5ED994ED33B8054DA74DDA6EA4A4BC5E48649BA312059493492DA425E3C8A9219CA8</t>
  </si>
  <si>
    <t>5ED994ED33B8054DA74DDA6EA4A4BC5F8EC49E238505677B46C060FE98004</t>
  </si>
  <si>
    <t>전력케이블  F-CV, 0.6/1kV, 4C 16㎟  m     ( 호표 36 )</t>
  </si>
  <si>
    <t>0.6/1kV, F-CV, 4C×16㎟</t>
  </si>
  <si>
    <t>59A344B813EF0516324A0472BC02388E32205C</t>
  </si>
  <si>
    <t>5ED9E460F32A05D5A3452CCB9306A259A344B813EF0516324A0472BC02388E32205C</t>
  </si>
  <si>
    <t>5ED9E460F32A05D5A3452CCB9306A25F8EC49E238505677B46C060FE9F003</t>
  </si>
  <si>
    <t>5ED9E460F32A05D5A3452CCB9306A25E48649BA312059493492DA425E3C8A9219CA5</t>
  </si>
  <si>
    <t>5ED9E460F32A05D5A3452CCB9306A25F8EC49E238505677B46C060FE98004</t>
  </si>
  <si>
    <t>전력케이블  F-CV, 0.6/1kV, 1C 70㎟  m     ( 호표 37 )</t>
  </si>
  <si>
    <t>0.6/1kV, F-CV, 1C×70㎟</t>
  </si>
  <si>
    <t>59A344B813EF0516324A0472BC02388E33C202</t>
  </si>
  <si>
    <t>5ED9E46193DF05114C42A82DD074CF59A344B813EF0516324A0472BC02388E33C202</t>
  </si>
  <si>
    <t>5ED9E46193DF05114C42A82DD074CF5F8EC49E238505677B46C060FE9F003</t>
  </si>
  <si>
    <t>0.057*3.4/4</t>
  </si>
  <si>
    <t>5ED9E46193DF05114C42A82DD074CF5E48649BA312059493492DA425E3C8A9219CA5</t>
  </si>
  <si>
    <t>5ED9E46193DF05114C42A82DD074CF5F8EC49E238505677B46C060FE98004</t>
  </si>
  <si>
    <t>러그단자  동관단자 2홀, 35㎟, 1C 구내  개소     ( 호표 38 )</t>
  </si>
  <si>
    <t>러그단자, 동관단자, 2홀, 38㎟</t>
  </si>
  <si>
    <t>59BD04D9434505F22041D6B03397F25C431AF4</t>
  </si>
  <si>
    <t>5ED9E476A3B60578F64B93D587B3D059BD04D9434505F22041D6B03397F25C431AF4</t>
  </si>
  <si>
    <t>5ED9E476A3B60578F64B93D587B3D05E48649BA312059493492DA425E3C8A9219CA5</t>
  </si>
  <si>
    <t>5ED9E476A3B60578F64B93D587B3D05F8EC49E238505677B46C060FE98004</t>
  </si>
  <si>
    <t>러그단자  동관단자 2홀, 70㎟, 1C 구내  개소     ( 호표 39 )</t>
  </si>
  <si>
    <t>러그단자, 동관단자, 2홀, 80㎟</t>
  </si>
  <si>
    <t>59BD04D9434505F22041D6B38794DC368AF8A6</t>
  </si>
  <si>
    <t>5ED9E476A3B6055C0341BEEC294D7959BD04D9434505F22041D6B38794DC368AF8A6</t>
  </si>
  <si>
    <t>5ED9E476A3B6055C0341BEEC294D795E48649BA312059493492DA425E3C8A9219CA5</t>
  </si>
  <si>
    <t>5ED9E476A3B6055C0341BEEC294D795F8EC49E238505677B46C060FE98004</t>
  </si>
  <si>
    <t>합성수지제 가요전선관  하이렉스-CD(난연성), 16mm, 매입  m     ( 호표 40 )</t>
  </si>
  <si>
    <t>전선관</t>
  </si>
  <si>
    <t>합성수지제가요전선관, CD, 16mm</t>
  </si>
  <si>
    <t>59BD04D943560546DA4DF4059EE0CD25C7348B</t>
  </si>
  <si>
    <t>5ED994E333F8054FD049099AAA144959BD04D943560546DA4DF4059EE0CD25C7348B</t>
  </si>
  <si>
    <t>5ED994E333F8054FD049099AAA14495F8EC49E238505677B46C060FE9A006</t>
  </si>
  <si>
    <t>전선관의 40%</t>
  </si>
  <si>
    <t>5ED994E333F8054FD049099AAA14495F8EC49E238505677B46C060FE9E002</t>
  </si>
  <si>
    <t>5ED994E333F8054FD049099AAA14495E48649BA312059493492DA425E3C8A9219CA8</t>
  </si>
  <si>
    <t>5ED994E333F8054FD049099AAA14495F8EC49E238505677B46C060FE98004</t>
  </si>
  <si>
    <t>스위치박스  ST, 1개용 54mm  개     ( 호표 41 )</t>
  </si>
  <si>
    <t>1개용, 54mm</t>
  </si>
  <si>
    <t>59BD04D9434505F25D461EBBC8E11A54E6352E</t>
  </si>
  <si>
    <t>5ED994E94374058D3B422A1CD4787859BD04D9434505F25D461EBBC8E11A54E6352E</t>
  </si>
  <si>
    <t>5ED994E94374058D3B422A1CD478785E48649BA312059493492DA425E3C8A9219CA8</t>
  </si>
  <si>
    <t>5ED994E94374058D3B422A1CD478785F8EC49E238505677B46C060FE98004</t>
  </si>
  <si>
    <t>아우트렛박스  4각 54mm  개     ( 호표 42 )</t>
  </si>
  <si>
    <t>아웃렛박스</t>
  </si>
  <si>
    <t>중형4각, 54mm</t>
  </si>
  <si>
    <t>59BD04D9434505F25D4610DDCA09F4A8864A18</t>
  </si>
  <si>
    <t>5ED994E9437405E7AE4BC189AD320459BD04D9434505F25D4610DDCA09F4A8864A18</t>
  </si>
  <si>
    <t>5ED994E9437405E7AE4BC189AD32045E48649BA312059493492DA425E3C8A9219CA8</t>
  </si>
  <si>
    <t>5ED994E9437405E7AE4BC189AD32045F8EC49E238505677B46C060FE9D001</t>
  </si>
  <si>
    <t>절연전선(3열동시포설)  HFIX, 2.5㎟, 관내배선  m     ( 호표 43 )</t>
  </si>
  <si>
    <t>저독성난연케이블</t>
  </si>
  <si>
    <t>HFIX, 2.5mm²</t>
  </si>
  <si>
    <t>59A344B813EF0516324A0472BE32FE83D02DF8</t>
  </si>
  <si>
    <t>5ED9E46343A4057D20459DFD8AC51D59A344B813EF0516324A0472BE32FE83D02DF8</t>
  </si>
  <si>
    <t>5ED9E46343A4057D20459DFD8AC51D5F8EC49E238505677B46C060FE9F003</t>
  </si>
  <si>
    <t>5ED9E46343A4057D20459DFD8AC51D5E48649BA312059493492DA425E3C8A9219CA8</t>
  </si>
  <si>
    <t>5ED9E46343A4057D20459DFD8AC51D5F8EC49E238505677B46C060FE9E002</t>
  </si>
  <si>
    <t>절연전선(3열동시포설)  HFIX, 2.5㎟, 관내배선 바닥공사  m     ( 호표 44 )</t>
  </si>
  <si>
    <t>5ED9E46343A4057D2046A3C8B835C459A344B813EF0516324A0472BE32FE83D02DF8</t>
  </si>
  <si>
    <t>5ED9E46343A4057D2046A3C8B835C45F8EC49E238505677B46C060FE9F003</t>
  </si>
  <si>
    <t>5ED9E46343A4057D2046A3C8B835C45E48649BA312059493492DA425E3C8A9219CA8</t>
  </si>
  <si>
    <t>5ED9E46343A4057D2046A3C8B835C45F8EC49E238505677B46C060FE9E002</t>
  </si>
  <si>
    <t>콘센트  매입-접지형, 15A 250V 2구  개     ( 호표 45 )</t>
  </si>
  <si>
    <t>2구, 15A, 250V, 매입형, 접지</t>
  </si>
  <si>
    <t>59BD04D9434505F22042FCB67F2C71775C669C</t>
  </si>
  <si>
    <t>5ED9F447C3F2055ADA4055EAB90B2059BD04D9434505F22042FCB67F2C71775C669C</t>
  </si>
  <si>
    <t>5ED9F447C3F2055ADA4055EAB90B205E48649BA312059493492DA425E3C8A9219CA8</t>
  </si>
  <si>
    <t>5ED9F447C3F2055ADA4055EAB90B205F8EC49E238505677B46C060FE9D001</t>
  </si>
  <si>
    <t>콘센트  방우형, 15A 250V 1구  개     ( 호표 46 )</t>
  </si>
  <si>
    <t>1구, 15A, 250V, 방우형</t>
  </si>
  <si>
    <t>59BD04D9434505F22042FCB67E0677FC5C68F5</t>
  </si>
  <si>
    <t>5ED9F447C3C5051C874877F52CD36659BD04D9434505F22042FCB67E0677FC5C68F5</t>
  </si>
  <si>
    <t>5ED9F447C3C5051C874877F52CD3665E48649BA312059493492DA425E3C8A9219CA8</t>
  </si>
  <si>
    <t>5ED9F447C3C5051C874877F52CD3665F8EC49E238505677B46C060FE98004</t>
  </si>
  <si>
    <t>콘센트  대기전력차단콘센트 2구  개     ( 호표 47 )</t>
  </si>
  <si>
    <t>대기전력자동차단 콘센트</t>
  </si>
  <si>
    <t>2구 16A 250V</t>
  </si>
  <si>
    <t>59BD04D9434505F22042FCB7078442BE9D30CC</t>
  </si>
  <si>
    <t>5ED9F447C3C5051CFA47C5D6A88DAF59BD04D9434505F22042FCB7078442BE9D30CC</t>
  </si>
  <si>
    <t>5ED9F447C3C5051CFA47C5D6A88DAF5E48649BA312059493492DA425E3C8A9219CA8</t>
  </si>
  <si>
    <t>5ED9F447C3C5051CFA47C5D6A88DAF5F8EC49E238505677B46C060FE9D001</t>
  </si>
  <si>
    <t>풀박스  100X100X100mm, 매입, 천정  개     ( 호표 48 )</t>
  </si>
  <si>
    <t>100×100×100mm</t>
  </si>
  <si>
    <t>59BD04D9434505F25D461BE769A2AD92C44DC2</t>
  </si>
  <si>
    <t>5ED994EEC379056B7B47BB0FD650FE59BD04D9434505F25D461BE769A2AD92C44DC2</t>
  </si>
  <si>
    <t>5ED994EEC379056B7B47BB0FD650FE5E48649BA312059493492DA425E3C8A9219CA8</t>
  </si>
  <si>
    <t>5ED994EEC379056B7B47BB0FD650FE5F8EC49E238505677B46C060FE98004</t>
  </si>
  <si>
    <t>시스템박스  전선관용(매입)  개     ( 호표 49 )</t>
  </si>
  <si>
    <t>전선관용, 매입</t>
  </si>
  <si>
    <t>59BD04D9434505F25D473F39D250189AB67553</t>
  </si>
  <si>
    <t>5ED994E9431205223D4B24468F187859BD04D9434505F25D473F39D250189AB67553</t>
  </si>
  <si>
    <t>5ED994E9431205223D4B24468F18785E48649BA312059493492DA425E3C8A9219CA8</t>
  </si>
  <si>
    <t>5ED994E9431205223D4B24468F18785F8EC49E238505677B46C060FE98004</t>
  </si>
  <si>
    <t>1종금속제가요전선관  16mm 비방수, 노출  m     ( 호표 50 )</t>
  </si>
  <si>
    <t>16mm, 비방수</t>
  </si>
  <si>
    <t>59BD04D943560546DA4DF406A5D3AB593DF5FB</t>
  </si>
  <si>
    <t>5ED994E3339705C35F44656FB09BC459BD04D943560546DA4DF406A5D3AB593DF5FB</t>
  </si>
  <si>
    <t>5ED994E3339705C35F44656FB09BC45F8EC49E238505677B46C060FE9E002</t>
  </si>
  <si>
    <t>5ED994E3339705C35F44656FB09BC45F8EC49E238505677B46C060FE9F003</t>
  </si>
  <si>
    <t>5ED994E3339705C35F44656FB09BC45E48649BA312059493492DA425E3C8A9219CA8</t>
  </si>
  <si>
    <t>5ED994E3339705C35F44656FB09BC45F8EC49E238505677B46C060FE98004</t>
  </si>
  <si>
    <t>합성수지제 가요전선관  HI-LEX-PF(난연성), 16mm, 매입  m     ( 호표 51 )</t>
  </si>
  <si>
    <t>합성수지제가요전선관, HL-PF 16, Hi-lex-pf, 난연성, 16mm</t>
  </si>
  <si>
    <t>59BD04D943560546DA4DF4059EE0CD25C73487</t>
  </si>
  <si>
    <t>5ED994E333F8054FD04A108B5AB68F59BD04D943560546DA4DF4059EE0CD25C73487</t>
  </si>
  <si>
    <t>5ED994E333F8054FD04A108B5AB68F5F8EC49E238505677B46C060FE99005</t>
  </si>
  <si>
    <t>5ED994E333F8054FD04A108B5AB68F5F8EC49E238505677B46C060FE9E002</t>
  </si>
  <si>
    <t>0.05*0.8</t>
  </si>
  <si>
    <t>5ED994E333F8054FD04A108B5AB68F5E48649BA312059493492DA425E3C8A9219CA8</t>
  </si>
  <si>
    <t>5ED994E333F8054FD04A108B5AB68F5F8EC49E238505677B46C060FE98004</t>
  </si>
  <si>
    <t>아우트렛박스  8각 54mm  개     ( 호표 52 )</t>
  </si>
  <si>
    <t>8각, 54mm</t>
  </si>
  <si>
    <t>59BD04D9434505F25D4610DDCA09F4A8864A1B</t>
  </si>
  <si>
    <t>5ED994E9437405E7AE480C7D0A992159BD04D9434505F25D4610DDCA09F4A8864A1B</t>
  </si>
  <si>
    <t>5ED994E9437405E7AE480C7D0A99215E48649BA312059493492DA425E3C8A9219CA8</t>
  </si>
  <si>
    <t>5ED994E9437405E7AE480C7D0A99215F8EC49E238505677B46C060FE9D001</t>
  </si>
  <si>
    <t>절연전선(2열동시포설)  HFIX, 2.5㎟, 관내배선  m     ( 호표 53 )</t>
  </si>
  <si>
    <t>5ED9E46343A4057D20459DFD8AC62459A344B813EF0516324A0472BE32FE83D02DF8</t>
  </si>
  <si>
    <t>5ED9E46343A4057D20459DFD8AC6245F8EC49E238505677B46C060FE9D001</t>
  </si>
  <si>
    <t>5ED9E46343A4057D20459DFD8AC6245E48649BA312059493492DA425E3C8A9219CA8</t>
  </si>
  <si>
    <t>5ED9E46343A4057D20459DFD8AC6245F8EC49E238505677B46C060FE9E002</t>
  </si>
  <si>
    <t>절연전선(4열동시포설)  HFIX, 2.5㎟, 관내배선  m     ( 호표 54 )</t>
  </si>
  <si>
    <t>5ED9E46343A4057D20459DFD8AC47A59A344B813EF0516324A0472BE32FE83D02DF8</t>
  </si>
  <si>
    <t>5ED9E46343A4057D20459DFD8AC47A5F8EC49E238505677B46C060FE9D001</t>
  </si>
  <si>
    <t>5ED9E46343A4057D20459DFD8AC47A5E48649BA312059493492DA425E3C8A9219CA8</t>
  </si>
  <si>
    <t>5ED9E46343A4057D20459DFD8AC47A5F8EC49E238505677B46C060FE9E002</t>
  </si>
  <si>
    <t>절연전선(5열동시포설)  HFIX, 2.5㎟, 관내배선  m     ( 호표 55 )</t>
  </si>
  <si>
    <t>5ED9E46343A4057D20459DFD8AC35059A344B813EF0516324A0472BE32FE83D02DF8</t>
  </si>
  <si>
    <t>5ED9E46343A4057D20459DFD8AC3505F8EC49E238505677B46C060FE9D001</t>
  </si>
  <si>
    <t>5ED9E46343A4057D20459DFD8AC3505E48649BA312059493492DA425E3C8A9219CA8</t>
  </si>
  <si>
    <t>5ED9E46343A4057D20459DFD8AC3505F8EC49E238505677B46C060FE9E002</t>
  </si>
  <si>
    <t>등기구 "A"TYPE  LED 40W X 1 (LED 슬림매입등)300x1200  개     ( 호표 56 )</t>
  </si>
  <si>
    <t>EA</t>
  </si>
  <si>
    <t>59A344B813EF05163248460ADAF0A828410D21</t>
  </si>
  <si>
    <t>5ED9F44E73CA057E5E43FA46C7709059A344B813EF05163248460ADAF0A828410D21</t>
  </si>
  <si>
    <t>5ED9F44E73CA057E5E43FA46C770905E48649BA312059493492DA425E3C8A9219CA8</t>
  </si>
  <si>
    <t>5ED9F44E73CA057E5E43FA46C770905F8EC49E238505677B46C060FE9D001</t>
  </si>
  <si>
    <t>등기구 "B"TYPE  LED 40W X 1 (LED 슬림직부등)300x1200  개     ( 호표 57 )</t>
  </si>
  <si>
    <t>59A344B813EF05163248460ADAF0A828410D20</t>
  </si>
  <si>
    <t>5ED9F44E73CA057E5E464E86358C7A59A344B813EF05163248460ADAF0A828410D20</t>
  </si>
  <si>
    <t>5ED9F44E73CA057E5E464E86358C7A5E48649BA312059493492DA425E3C8A9219CA8</t>
  </si>
  <si>
    <t>5ED9F44E73CA057E5E464E86358C7A5F8EC49E238505677B46C060FE9D001</t>
  </si>
  <si>
    <t>등기구 "C"TYPE  LED 15W X 1 (LED 다운라이트)  개     ( 호표 58 )</t>
  </si>
  <si>
    <t>59A344B813EF05163248460ADAF0A828410C03</t>
  </si>
  <si>
    <t>5ED9F44E73CA057E5E4755F705061D59A344B813EF05163248460ADAF0A828410C03</t>
  </si>
  <si>
    <t>5ED9F44E73CA057E5E4755F705061D5E48649BA312059493492DA425E3C8A9219CA8</t>
  </si>
  <si>
    <t>5ED9F44E73CA057E5E4755F705061D5F8EC49E238505677B46C060FE9D001</t>
  </si>
  <si>
    <t>등기구 "D"TYPE  LED 15W X 1 (LED 원형직부등)  개     ( 호표 59 )</t>
  </si>
  <si>
    <t>59A344B813EF05163248460ADAF0A828410C02</t>
  </si>
  <si>
    <t>5ED9F44E73CA057E5E4481194DEC8959A344B813EF05163248460ADAF0A828410C02</t>
  </si>
  <si>
    <t>5ED9F44E73CA057E5E4481194DEC895E48649BA312059493492DA425E3C8A9219CA8</t>
  </si>
  <si>
    <t>5ED9F44E73CA057E5E4481194DEC895F8EC49E238505677B46C060FE9D001</t>
  </si>
  <si>
    <t>등기구 "E"TYPE  LED 15W X 1(LED 벽부등)  개     ( 호표 60 )</t>
  </si>
  <si>
    <t>59A344B813EF05163248460ADAF0A828410C01</t>
  </si>
  <si>
    <t>5ED9F44E73CA057E5E45A8220F0BE859A344B813EF05163248460ADAF0A828410C01</t>
  </si>
  <si>
    <t>5ED9F44E73CA057E5E45A8220F0BE85E48649BA312059493492DA425E3C8A9219CA8</t>
  </si>
  <si>
    <t>5ED9F44E73CA057E5E45A8220F0BE85F8EC49E238505677B46C060FE9D001</t>
  </si>
  <si>
    <t>스위치  단로, 15A 250V, 1구  개     ( 호표 61 )</t>
  </si>
  <si>
    <t>텀블러스위치</t>
  </si>
  <si>
    <t>1로스위치, 15A250V1구</t>
  </si>
  <si>
    <t>59BD04D94345057D9249EDB0DC794DE3961069</t>
  </si>
  <si>
    <t>5ED9F441A374059BFE4C294D7B91CE59BD04D94345057D9249EDB0DC794DE3961069</t>
  </si>
  <si>
    <t>5ED9F441A374059BFE4C294D7B91CE5E48649BA312059493492DA425E3C8A9219CA8</t>
  </si>
  <si>
    <t>5ED9F441A374059BFE4C294D7B91CE5F8EC49E238505677B46C060FE98004</t>
  </si>
  <si>
    <t>스위치  단로, 15A 250V, 2구  개     ( 호표 62 )</t>
  </si>
  <si>
    <t>1로스위치, 15A250V2구</t>
  </si>
  <si>
    <t>59BD04D94345057D9249EDB0DC794DE3961066</t>
  </si>
  <si>
    <t>5ED9F441A374059BC147E53F9C7BF359BD04D94345057D9249EDB0DC794DE3961066</t>
  </si>
  <si>
    <t>5ED9F441A374059BC147E53F9C7BF35E48649BA312059493492DA425E3C8A9219CA8</t>
  </si>
  <si>
    <t>5ED9F441A374059BC147E53F9C7BF35F8EC49E238505677B46C060FE98004</t>
  </si>
  <si>
    <t>스위치  단로, 15A 250V, 3구  개     ( 호표 63 )</t>
  </si>
  <si>
    <t>1로스위치, 15A250V3구</t>
  </si>
  <si>
    <t>59BD04D94345057D9249EDB0DC794DE3961067</t>
  </si>
  <si>
    <t>5ED9F441A374059BD34E8E7A1B7C2559BD04D94345057D9249EDB0DC794DE3961067</t>
  </si>
  <si>
    <t>5ED9F441A374059BD34E8E7A1B7C255E48649BA312059493492DA425E3C8A9219CA8</t>
  </si>
  <si>
    <t>5ED9F441A374059BD34E8E7A1B7C255F8EC49E238505677B46C060FE98004</t>
  </si>
  <si>
    <t>일괄소등스위치  1회로  개     ( 호표 64 )</t>
  </si>
  <si>
    <t>59BD04D94345057D9249EDB0DC7177AFBAA814</t>
  </si>
  <si>
    <t>5ED9F441A31305C7474889687A215F59BD04D94345057D9249EDB0DC7177AFBAA814</t>
  </si>
  <si>
    <t>5ED9F441A31305C7474889687A215F5E48649BA312059493492DA425E3C8A9219CA8</t>
  </si>
  <si>
    <t>5ED9F441A31305C7474889687A215F5F8EC49E238505677B46C060FE9D001</t>
  </si>
  <si>
    <t>콘센트  매입-접지형, 15A 250V 1구  개     ( 호표 65 )</t>
  </si>
  <si>
    <t>1구, 15A, 250V, 매입형, 접지</t>
  </si>
  <si>
    <t>59BD04D9434505F22042FCB67F2C71775C67AA</t>
  </si>
  <si>
    <t>5ED9F447C3F2055ABF42F9C131BEEE59BD04D9434505F22042FCB67F2C71775C67AA</t>
  </si>
  <si>
    <t>5ED9F447C3F2055ABF42F9C131BEEE5E48649BA312059493492DA425E3C8A9219CA8</t>
  </si>
  <si>
    <t>5ED9F447C3F2055ABF42F9C131BEEE5F8EC49E238505677B46C060FE98004</t>
  </si>
  <si>
    <t>합성수지제 가요전선관  하이렉스-CD(난연성), 22mm, 매입  m     ( 호표 66 )</t>
  </si>
  <si>
    <t>합성수지제가요전선관, CD, 22mm</t>
  </si>
  <si>
    <t>59BD04D943560546DA4DF4059EE0CD25C7348A</t>
  </si>
  <si>
    <t>5ED994E333F805584D4BA7558435DC59BD04D943560546DA4DF4059EE0CD25C7348A</t>
  </si>
  <si>
    <t>5ED994E333F805584D4BA7558435DC5F8EC49E238505677B46C060FE9E002</t>
  </si>
  <si>
    <t>5ED994E333F805584D4BA7558435DC5F8EC49E238505677B46C060FE9F003</t>
  </si>
  <si>
    <t>5ED994E333F805584D4BA7558435DC5E48649BA312059493492DA425E3C8A9219CA8</t>
  </si>
  <si>
    <t>5ED994E333F805584D4BA7558435DC5F8EC49E238505677B46C060FE98004</t>
  </si>
  <si>
    <t>절연전선(6열동시포설)  HFIX, 2.5㎟, 관내배선  m     ( 호표 67 )</t>
  </si>
  <si>
    <t>5ED9E46343A4057D20459DFD8AC24959A344B813EF0516324A0472BE32FE83D02DF8</t>
  </si>
  <si>
    <t>5ED9E46343A4057D20459DFD8AC2495F8EC49E238505677B46C060FE9D001</t>
  </si>
  <si>
    <t>5ED9E46343A4057D20459DFD8AC2495E48649BA312059493492DA425E3C8A9219CA8</t>
  </si>
  <si>
    <t>5ED9E46343A4057D20459DFD8AC2495F8EC49E238505677B46C060FE9E002</t>
  </si>
  <si>
    <t>절연전선(7열동시포설)  HFIX, 2.5㎟, 관내배선  m     ( 호표 68 )</t>
  </si>
  <si>
    <t>5ED9E46343A4057D20459DFD8AC1A659A344B813EF0516324A0472BE32FE83D02DF8</t>
  </si>
  <si>
    <t>5ED9E46343A4057D20459DFD8AC1A65F8EC49E238505677B46C060FE9D001</t>
  </si>
  <si>
    <t>5ED9E46343A4057D20459DFD8AC1A65E48649BA312059493492DA425E3C8A9219CA8</t>
  </si>
  <si>
    <t>5ED9E46343A4057D20459DFD8AC1A65F8EC49E238505677B46C060FE9E002</t>
  </si>
  <si>
    <t>등기구 "F"TYPE  LED 12W X 1 (LED 센서등)  개     ( 호표 69 )</t>
  </si>
  <si>
    <t>59A344B813EF05163248460ADAF0A828410C00</t>
  </si>
  <si>
    <t>5ED9F44E73CA057E5E4A295685E76359A344B813EF05163248460ADAF0A828410C00</t>
  </si>
  <si>
    <t>5ED9F44E73CA057E5E4A295685E7635E48649BA312059493492DA425E3C8A9219CA8</t>
  </si>
  <si>
    <t>5ED9F44E73CA057E5E4A295685E7635F8EC49E238505677B46C060FE9D001</t>
  </si>
  <si>
    <t>파상형 경질폴리에틸렌 전선관  30mm  m     ( 호표 70 )</t>
  </si>
  <si>
    <t>59BD04D943560546DA4DF4059EE0CD25C7313A</t>
  </si>
  <si>
    <t>5ED994E333EF05A5664543CF4A670459BD04D943560546DA4DF4059EE0CD25C7313A</t>
  </si>
  <si>
    <t>5ED994E333EF05A5664543CF4A67045F8EC49E238505677B46C060FE9E002</t>
  </si>
  <si>
    <t>5ED994E333EF05A5664543CF4A67045F8EC49E238505677B46C060FE9F003</t>
  </si>
  <si>
    <t>5ED994E333EF05A5664543CF4A67045E48649BA312059493492DA425E3C8A9219B85</t>
  </si>
  <si>
    <t>5ED994E333EF05A5664543CF4A67045E48649BA312059493492DA425E3C8A92193B0</t>
  </si>
  <si>
    <t>5ED994E333EF05A5664543CF4A67045F8EC49E238505677B46C060FE98004</t>
  </si>
  <si>
    <t>등기구 "G"TYPE  LED 50W X 1 (LED 보안등, 재사용)  개     ( 호표 71 )</t>
  </si>
  <si>
    <t>59A344B813EF05163248460ADAF0A828410A57</t>
  </si>
  <si>
    <t>5ED9F44E73CA057E5E43FA46C7709159A344B813EF05163248460ADAF0A828410A57</t>
  </si>
  <si>
    <t>5ED9F44E73CA057E5E43FA46C770915E48649BA312059493492DA425E3C8A9219CA8</t>
  </si>
  <si>
    <t>5ED9F44E73CA057E5E43FA46C770915F8EC49E238505677B46C060FE9D001</t>
  </si>
  <si>
    <t>POLE LIGHT 인력설치 (재사용)  5m이하, 1등용  본     ( 호표 72 )</t>
  </si>
  <si>
    <t>POLE LIGHT</t>
  </si>
  <si>
    <t>59A344B813EF05163248460ADAF0A828410A56</t>
  </si>
  <si>
    <t>5ED9F44093EA05A12845AEDC1DF53259A344B813EF05163248460ADAF0A828410A56</t>
  </si>
  <si>
    <t>5ED9F44093EA05A12845AEDC1DF5325E48649BA312059493492DA425E3C8A9219CA8</t>
  </si>
  <si>
    <t>5ED9F44093EA05A12845AEDC1DF5325F8EC49E238505677B46C060FE9D001</t>
  </si>
  <si>
    <t>파상형 경질폴리에틸렌 전선관  40mm  m     ( 호표 73 )</t>
  </si>
  <si>
    <t>59BD04D943560546DA4DF4059EE0CD25C73139</t>
  </si>
  <si>
    <t>5ED994E333EF05949E4B67753B995359BD04D943560546DA4DF4059EE0CD25C73139</t>
  </si>
  <si>
    <t>5ED994E333EF05949E4B67753B99535F8EC49E238505677B46C060FE9E002</t>
  </si>
  <si>
    <t>5ED994E333EF05949E4B67753B99535F8EC49E238505677B46C060FE9F003</t>
  </si>
  <si>
    <t>5ED994E333EF05949E4B67753B99535E48649BA312059493492DA425E3C8A9219B85</t>
  </si>
  <si>
    <t>5ED994E333EF05949E4B67753B99535E48649BA312059493492DA425E3C8A92193B0</t>
  </si>
  <si>
    <t>5ED994E333EF05949E4B67753B99535F8EC49E238505677B46C060FE98004</t>
  </si>
  <si>
    <t>전력케이블  F-CV, 0.6/1kV, 2C 6㎟  m     ( 호표 74 )</t>
  </si>
  <si>
    <t>0.6/1kV, F-CV, 2C×6㎟</t>
  </si>
  <si>
    <t>59A344B813EF0516324A0472BC02388E322432</t>
  </si>
  <si>
    <t>5ED9E460F32A05F09B46EE3DACCABB59A344B813EF0516324A0472BC02388E322432</t>
  </si>
  <si>
    <t>5ED9E460F32A05F09B46EE3DACCABB5F8EC49E238505677B46C060FE9F003</t>
  </si>
  <si>
    <t>5ED9E460F32A05F09B46EE3DACCABB5E48649BA312059493492DA425E3C8A9219CA5</t>
  </si>
  <si>
    <t>5ED9E460F32A05F09B46EE3DACCABB5F8EC49E238505677B46C060FE98004</t>
  </si>
  <si>
    <t>절연전선  F-GV, 6㎟, 관내포설  m     ( 호표 75 )</t>
  </si>
  <si>
    <t>F-GV, 6㎟</t>
  </si>
  <si>
    <t>59A344B813EF05160541291C4BCB9380C3C425</t>
  </si>
  <si>
    <t>5ED9D47E33F3059A2344960A401D7259A344B813EF05160541291C4BCB9380C3C425</t>
  </si>
  <si>
    <t>5ED9D47E33F3059A2344960A401D725F8EC49E238505677B46C060FE9F003</t>
  </si>
  <si>
    <t>5ED9D47E33F3059A2344960A401D725E48649BA312059493492DA425E3C8A9219CA8</t>
  </si>
  <si>
    <t>5ED9D47E33F3059A2344960A401D725F8EC49E238505677B46C060FE98004</t>
  </si>
  <si>
    <t>1종금속제가요전선관  28mm 방수, 노출  m     ( 호표 76 )</t>
  </si>
  <si>
    <t>비닐피복, 28mm, 방수</t>
  </si>
  <si>
    <t>59BD04D943560546DA4DF406A5D3AB593DF686</t>
  </si>
  <si>
    <t>5ED994E3339705A06D413BAA71A38859BD04D943560546DA4DF406A5D3AB593DF686</t>
  </si>
  <si>
    <t>5ED994E3339705A06D413BAA71A3885F8EC49E238505677B46C060FE9E002</t>
  </si>
  <si>
    <t>5ED994E3339705A06D413BAA71A3885F8EC49E238505677B46C060FE9F003</t>
  </si>
  <si>
    <t>5ED994E3339705A06D413BAA71A3885E48649BA312059493492DA425E3C8A9219CA8</t>
  </si>
  <si>
    <t>5ED994E3339705A06D413BAA71A3885F8EC49E238505677B46C060FE98004</t>
  </si>
  <si>
    <t>1종금속제가요전선관  42mm 방수, 노출  m     ( 호표 77 )</t>
  </si>
  <si>
    <t>비닐피복, 42mm, 방수</t>
  </si>
  <si>
    <t>59BD04D943560546DA4DF406A5D3AB593DF684</t>
  </si>
  <si>
    <t>5ED994E333970585874AD51217E2E259BD04D943560546DA4DF406A5D3AB593DF684</t>
  </si>
  <si>
    <t>5ED994E333970585874AD51217E2E25F8EC49E238505677B46C060FE9E002</t>
  </si>
  <si>
    <t>5ED994E333970585874AD51217E2E25F8EC49E238505677B46C060FE9F003</t>
  </si>
  <si>
    <t>5ED994E333970585874AD51217E2E25E48649BA312059493492DA425E3C8A9219CA8</t>
  </si>
  <si>
    <t>5ED994E333970585874AD51217E2E25F8EC49E238505677B46C060FE98004</t>
  </si>
  <si>
    <t>전력케이블  F-CV, 0.6/1kV, 4C 4㎟  m     ( 호표 78 )</t>
  </si>
  <si>
    <t>0.6/1kV, F-CV, 4C×4㎟</t>
  </si>
  <si>
    <t>59A344B813EF0516324A0472BC02388E32205F</t>
  </si>
  <si>
    <t>5ED9E460F32A058D8F4B02FD91396659A344B813EF0516324A0472BC02388E32205F</t>
  </si>
  <si>
    <t>5ED9E460F32A058D8F4B02FD9139665F8EC49E238505677B46C060FE9F003</t>
  </si>
  <si>
    <t>5ED9E460F32A058D8F4B02FD9139665E48649BA312059493492DA425E3C8A9219CA5</t>
  </si>
  <si>
    <t>5ED9E460F32A058D8F4B02FD9139665F8EC49E238505677B46C060FE98004</t>
  </si>
  <si>
    <t>절연전선  F-GV, 4㎟, 관내포설  m     ( 호표 79 )</t>
  </si>
  <si>
    <t>F-GV, 4㎟</t>
  </si>
  <si>
    <t>59A344B813EF05160541291C4BCB9380C3C424</t>
  </si>
  <si>
    <t>5ED9D47E33F30588524E012E5119E959A344B813EF05160541291C4BCB9380C3C424</t>
  </si>
  <si>
    <t>5ED9D47E33F30588524E012E5119E95F8EC49E238505677B46C060FE9F003</t>
  </si>
  <si>
    <t>5ED9D47E33F30588524E012E5119E95E48649BA312059493492DA425E3C8A9219CA8</t>
  </si>
  <si>
    <t>5ED9D47E33F30588524E012E5119E95F8EC49E238505677B46C060FE98004</t>
  </si>
  <si>
    <t>케이블트레이  W700x100Hx2.3t  m     ( 호표 80 )</t>
  </si>
  <si>
    <t>Straight, 스틸, 700×100×t2.3mm</t>
  </si>
  <si>
    <t>59BD04D943560546DA4DF6339A006CBD24522C</t>
  </si>
  <si>
    <t>5ED994E5E38B05EB114266F99590FF59BD04D943560546DA4DF6339A006CBD24522C</t>
  </si>
  <si>
    <t>5ED994E5E38B05EB114266F99590FF5E48649BA312059493492DA425E3C8A9219CA8</t>
  </si>
  <si>
    <t>5ED994E5E38B05EB114266F99590FF5F8EC49E238505677B46C060FE98004</t>
  </si>
  <si>
    <t>케이블트레이지지대(옥외수평)  W700  개소     ( 호표 81 )</t>
  </si>
  <si>
    <t>PVC관</t>
  </si>
  <si>
    <t>150A</t>
  </si>
  <si>
    <t>59A344B813DE058408411451B1FE09FFA6CDFB</t>
  </si>
  <si>
    <t>5ED994ED33B80533224D19213B4E4D59A344B813DE058408411451B1FE09FFA6CDFB</t>
  </si>
  <si>
    <t>ㄱ형강</t>
  </si>
  <si>
    <t>75×75×6mm</t>
  </si>
  <si>
    <t>kg</t>
  </si>
  <si>
    <t>59BD943543A50533C648B8D2B290B4439FDD0B</t>
  </si>
  <si>
    <t>5ED994ED33B80533224D19213B4E4D59BD943543A50533C648B8D2B290B4439FDD0B</t>
  </si>
  <si>
    <t>CONC인력비빔타설(1:4:8)</t>
  </si>
  <si>
    <t>무근구조물</t>
  </si>
  <si>
    <t>호표 92</t>
  </si>
  <si>
    <t>5ED8044903D00580D74C43D1AE7C66</t>
  </si>
  <si>
    <t>5ED994ED33B80533224D19213B4E4D5ED8044903D00580D74C43D1AE7C66</t>
  </si>
  <si>
    <t>자철물제작설치(철제)</t>
  </si>
  <si>
    <t>간단</t>
  </si>
  <si>
    <t>Kg</t>
  </si>
  <si>
    <t>59A344B813DE058408411451B1FE09FFA6CDFA</t>
  </si>
  <si>
    <t>5ED994ED33B80533224D19213B4E4D59A344B813DE058408411451B1FE09FFA6CDFA</t>
  </si>
  <si>
    <t>주재료비의 3%</t>
  </si>
  <si>
    <t>5ED994ED33B80533224D19213B4E4D5F8EC49E238505677B46C060FE9D001</t>
  </si>
  <si>
    <t>케이블트레이  W300x100Hx2.3t  m     ( 호표 82 )</t>
  </si>
  <si>
    <t>Straight, 스틸, 300×100×t2.3mm</t>
  </si>
  <si>
    <t>59BD04D943560546DA4DF6339A006CBD24533C</t>
  </si>
  <si>
    <t>5ED994E5E38B05EB11426C02A2F61159BD04D943560546DA4DF6339A006CBD24533C</t>
  </si>
  <si>
    <t>5ED994E5E38B05EB11426C02A2F6115E48649BA312059493492DA425E3C8A9219CA8</t>
  </si>
  <si>
    <t>5ED994E5E38B05EB11426C02A2F6115F8EC49E238505677B46C060FE98004</t>
  </si>
  <si>
    <t>케이블트레이지지대(수직)  W300  개소     ( 호표 83 )</t>
  </si>
  <si>
    <t>U Channel, 41×41×t2.6mm</t>
  </si>
  <si>
    <t>59BD04D943560546DA4DF7DAC33D30D425747D</t>
  </si>
  <si>
    <t>5ED994ED33AF05E2FE49AB0A4CD67059BD04D943560546DA4DF7DAC33D30D425747D</t>
  </si>
  <si>
    <t>5ED994ED33AF05E2FE49AB0A4CD67059BD842F739105E2B34864546C030FF6368930</t>
  </si>
  <si>
    <t>Bracket, W220</t>
  </si>
  <si>
    <t>59BD04D943560546DA4DF7DAC33D30D425751D</t>
  </si>
  <si>
    <t>5ED994ED33AF05E2FE49AB0A4CD67059BD04D943560546DA4DF7DAC33D30D425751D</t>
  </si>
  <si>
    <t>찬넬스프링너트, 아연도</t>
  </si>
  <si>
    <t>59BD04D943560546DA4DF7DAC33D30D4257473</t>
  </si>
  <si>
    <t>5ED994ED33AF05E2FE49AB0A4CD67059BD04D943560546DA4DF7DAC33D30D4257473</t>
  </si>
  <si>
    <t>레일클램프</t>
  </si>
  <si>
    <t>59BD04D943560546DA4DF7DAC335E20B322032</t>
  </si>
  <si>
    <t>5ED994ED33AF05E2FE49AB0A4CD67059BD04D943560546DA4DF7DAC335E20B322032</t>
  </si>
  <si>
    <t>라운드헤드볼트</t>
  </si>
  <si>
    <t>라운드헤드볼트, M10×25</t>
  </si>
  <si>
    <t>59BD842F739105D026485D2E176907838A2DFE</t>
  </si>
  <si>
    <t>5ED994ED33AF05E2FE49AB0A4CD67059BD842F739105D026485D2E176907838A2DFE</t>
  </si>
  <si>
    <t>5ED994ED33AF05E2FE49AB0A4CD67059BD842F739105D0C6445D0EC02BC6FD347721</t>
  </si>
  <si>
    <t>5ED994ED33AF05E2FE49AB0A4CD6705E48649BA312059493492DA425E3C8A9219CA8</t>
  </si>
  <si>
    <t>5ED994ED33AF05E2FE49AB0A4CD6705F8EC49E238505677B46C060FE98004</t>
  </si>
  <si>
    <t>절연전선  F-GV, 120㎟, 직매포설  m     ( 호표 84 )</t>
  </si>
  <si>
    <t>F-GV, 120㎟</t>
  </si>
  <si>
    <t>59A344B813EF05160541291C4BCB9380C226D0</t>
  </si>
  <si>
    <t>5ED9D47E33F4058284438A6438BDF359A344B813EF05160541291C4BCB9380C226D0</t>
  </si>
  <si>
    <t>5ED9D47E33F4058284438A6438BDF35F8EC49E238505677B46C060FE9F003</t>
  </si>
  <si>
    <t>5ED9D47E33F4058284438A6438BDF35E48649BA312059493492DA425E3C8A9219CA8</t>
  </si>
  <si>
    <t>5ED9D47E33F4058284438A6438BDF35F8EC49E238505677B46C060FE98004</t>
  </si>
  <si>
    <t>터파기(기계9:1)  보통토사.백호90%+인력10%  ㎥     ( 호표 85 )</t>
  </si>
  <si>
    <t>토사,백호80%+인력20%</t>
  </si>
  <si>
    <t>산근 4</t>
  </si>
  <si>
    <t>5E975467E3D905992645866F185B9A</t>
  </si>
  <si>
    <t>5E975467E3D905992646AD78D308CA5E975467E3D905992645866F185B9A</t>
  </si>
  <si>
    <t>되메우기  토사,인력  ㎥     ( 호표 86 )</t>
  </si>
  <si>
    <t>5E975461432C058C87426A2BF8C4D05E48649BA312059493492DA425E3C8A9219B85</t>
  </si>
  <si>
    <t>현장내잔토처리  소운반.고르기  ㎥     ( 호표 87 )</t>
  </si>
  <si>
    <t>5E975461432C058CCE4C6BF4E16E805E48649BA312059493492DA425E3C8A9219B85</t>
  </si>
  <si>
    <t>잡석깔기지정  떨공이다지기  ㎥     ( 호표 88 )</t>
  </si>
  <si>
    <t>자갈</t>
  </si>
  <si>
    <t>(별도)</t>
  </si>
  <si>
    <t>5992D44623490595C2460F0ACC166440153C7E</t>
  </si>
  <si>
    <t>5E97447F838E057E3B45235E45A0085992D44623490595C2460F0ACC166440153C7E</t>
  </si>
  <si>
    <t>5E97447F838E057E3B45235E45A0085E48649BA312059493492DA425E3C8A9219B85</t>
  </si>
  <si>
    <t>기구손료</t>
  </si>
  <si>
    <t>인건비의2%</t>
  </si>
  <si>
    <t>5E97447F838E057E3B45235E45A0085F8EC49E238505677B46C060FE9D001</t>
  </si>
  <si>
    <t>굴삭기 (무한궤도)  0.7 ㎥  HR     ( 호표 89 )</t>
  </si>
  <si>
    <t>5980549793F90520F4416E2D1C6953A39AFED1C8</t>
  </si>
  <si>
    <t>굴삭기 (무한궤도)</t>
  </si>
  <si>
    <t>0.7 ㎥</t>
  </si>
  <si>
    <t>HR</t>
  </si>
  <si>
    <t>호표 89</t>
  </si>
  <si>
    <t>A</t>
  </si>
  <si>
    <t>굴삭기(유압식백호)</t>
  </si>
  <si>
    <t>0.7㎥</t>
  </si>
  <si>
    <t>대</t>
  </si>
  <si>
    <t>천원</t>
  </si>
  <si>
    <t>5980549793F90520F4416E2D1C6953A39AFED1</t>
  </si>
  <si>
    <t>5980549793F90520F4416E2D1C6953A39AFED1C85980549793F90520F4416E2D1C6953A39AFED1</t>
  </si>
  <si>
    <t>경유</t>
  </si>
  <si>
    <t>경유, 저유황</t>
  </si>
  <si>
    <t>L</t>
  </si>
  <si>
    <t>599294EDA32305A002416AE660D80CE70EE445</t>
  </si>
  <si>
    <t>5980549793F90520F4416E2D1C6953A39AFED1C8599294EDA32305A002416AE660D80CE70EE445</t>
  </si>
  <si>
    <t>잡재료</t>
  </si>
  <si>
    <t>주연료비의22%</t>
  </si>
  <si>
    <t>5980549793F90520F4416E2D1C6953A39AFED1C85F8EC49E238505677B46C060FE9D001</t>
  </si>
  <si>
    <t>건설기계운전사</t>
  </si>
  <si>
    <t>2010년-명칭변경</t>
  </si>
  <si>
    <t>5E48649BA312059493492DA425E3C8A9219F6A</t>
  </si>
  <si>
    <t>5980549793F90520F4416E2D1C6953A39AFED1C85E48649BA312059493492DA425E3C8A9219F6A</t>
  </si>
  <si>
    <t>덤프트럭  15 ton  HR     ( 호표 90 )</t>
  </si>
  <si>
    <t>5980549793F90520BE463C683713754CEA52F251</t>
  </si>
  <si>
    <t>덤프트럭</t>
  </si>
  <si>
    <t>15 ton</t>
  </si>
  <si>
    <t>호표 90</t>
  </si>
  <si>
    <t>15ton</t>
  </si>
  <si>
    <t>5980549793F90520BE463C683713754CEA52F2</t>
  </si>
  <si>
    <t>5980549793F90520BE463C683713754CEA52F2515980549793F90520BE463C683713754CEA52F2</t>
  </si>
  <si>
    <t>5980549793F90520BE463C683713754CEA52F251599294EDA32305A002416AE660D80CE70EE445</t>
  </si>
  <si>
    <t>주연료비의38%</t>
  </si>
  <si>
    <t>5980549793F90520BE463C683713754CEA52F2515F8EC49E238505677B46C060FE9D001</t>
  </si>
  <si>
    <t>5980549793F90520BE463C683713754CEA52F2515E48649BA312059493492DA425E3C8A9219F6A</t>
  </si>
  <si>
    <t>래 머  80 kg  HR     ( 호표 91 )</t>
  </si>
  <si>
    <t>5980549793F905315A4F296E9978B8307204A811</t>
  </si>
  <si>
    <t>래 머</t>
  </si>
  <si>
    <t>80 kg</t>
  </si>
  <si>
    <t>호표 91</t>
  </si>
  <si>
    <t>래머</t>
  </si>
  <si>
    <t>80KG</t>
  </si>
  <si>
    <t>5980549793F905315A4F296E9978B8307204A8</t>
  </si>
  <si>
    <t>5980549793F905315A4F296E9978B8307204A8115980549793F905315A4F296E9978B8307204A8</t>
  </si>
  <si>
    <t>공업용휘발유</t>
  </si>
  <si>
    <t>공업용휘발유, 무연</t>
  </si>
  <si>
    <t>599294EDA32305A0024169DF0E9903083C0685</t>
  </si>
  <si>
    <t>5980549793F905315A4F296E9978B8307204A811599294EDA32305A0024169DF0E9903083C0685</t>
  </si>
  <si>
    <t>주연료비의10%</t>
  </si>
  <si>
    <t>5980549793F905315A4F296E9978B8307204A8115F8EC49E238505677B46C060FE9D001</t>
  </si>
  <si>
    <t>일반기계운전사</t>
  </si>
  <si>
    <t>5E48649BA312059493492DA425E3C8A9219E5B</t>
  </si>
  <si>
    <t>5980549793F905315A4F296E9978B8307204A8115E48649BA312059493492DA425E3C8A9219E5B</t>
  </si>
  <si>
    <t>CONC인력비빔타설(1:4:8)  무근구조물  개소     ( 호표 92 )</t>
  </si>
  <si>
    <t>시멘트</t>
  </si>
  <si>
    <t>시멘트, 분공장도</t>
  </si>
  <si>
    <t>59BD943543B705813B4479B06D48D9DE0A2FA9</t>
  </si>
  <si>
    <t>5ED8044903D00580D74C43D1AE7C6659BD943543B705813B4479B06D48D9DE0A2FA9</t>
  </si>
  <si>
    <t>모래, 부산, 도착도</t>
  </si>
  <si>
    <t>5992D44623490595DC4E5FCFD4B966F84CDED1</t>
  </si>
  <si>
    <t>5ED8044903D00580D74C43D1AE7C665992D44623490595DC4E5FCFD4B966F84CDED1</t>
  </si>
  <si>
    <t>자갈, 부산, 도착도, #57</t>
  </si>
  <si>
    <t>5992D44623490595C2460F0ACC1664401539AC</t>
  </si>
  <si>
    <t>5ED8044903D00580D74C43D1AE7C665992D44623490595C2460F0ACC1664401539AC</t>
  </si>
  <si>
    <t>5ED8044903D00580D74C43D1AE7C665E48649BA312059493492DA425E3C8A9219B85</t>
  </si>
  <si>
    <t>콘크리트공</t>
  </si>
  <si>
    <t>5E48649BA312059493492DA425E3C8A9219AE3</t>
  </si>
  <si>
    <t>5ED8044903D00580D74C43D1AE7C665E48649BA312059493492DA425E3C8A9219AE3</t>
  </si>
  <si>
    <t>5ED8044903D00580D74C43D1AE7C665F8EC49E238505677B46C060FE9D001</t>
  </si>
  <si>
    <t>단 가 대 비 표</t>
  </si>
  <si>
    <t>규격</t>
  </si>
  <si>
    <t>가격정보</t>
  </si>
  <si>
    <t>PAGE</t>
  </si>
  <si>
    <t>물가자료</t>
  </si>
  <si>
    <t>물가정보</t>
  </si>
  <si>
    <t>유통물가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</si>
  <si>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</si>
  <si>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</si>
  <si>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</si>
  <si>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</si>
  <si>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</si>
  <si>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</si>
  <si>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</si>
  <si>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</si>
  <si>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62</t>
  </si>
  <si>
    <t>55</t>
  </si>
  <si>
    <t>자재 4</t>
  </si>
  <si>
    <t>자재 5</t>
  </si>
  <si>
    <t>자재 6</t>
  </si>
  <si>
    <t>자재 7</t>
  </si>
  <si>
    <t>하 32</t>
  </si>
  <si>
    <t>1438</t>
  </si>
  <si>
    <t>자재 8</t>
  </si>
  <si>
    <t>자재 9</t>
  </si>
  <si>
    <t>자재 10</t>
  </si>
  <si>
    <t>자재 11</t>
  </si>
  <si>
    <t>20683696</t>
  </si>
  <si>
    <t>1075</t>
  </si>
  <si>
    <t>1165</t>
  </si>
  <si>
    <t>자재 12</t>
  </si>
  <si>
    <t>20683697</t>
  </si>
  <si>
    <t>자재 13</t>
  </si>
  <si>
    <t>20683699</t>
  </si>
  <si>
    <t>자재 14</t>
  </si>
  <si>
    <t>20683700</t>
  </si>
  <si>
    <t>자재 15</t>
  </si>
  <si>
    <t>20683701</t>
  </si>
  <si>
    <t>자재 16</t>
  </si>
  <si>
    <t>20683702</t>
  </si>
  <si>
    <t>자재 17</t>
  </si>
  <si>
    <t>20683703</t>
  </si>
  <si>
    <t>1161</t>
  </si>
  <si>
    <t>자재 18</t>
  </si>
  <si>
    <t>20683705</t>
  </si>
  <si>
    <t>자재 19</t>
  </si>
  <si>
    <t>20683706</t>
  </si>
  <si>
    <t>1084</t>
  </si>
  <si>
    <t>1233</t>
  </si>
  <si>
    <t>자재 20</t>
  </si>
  <si>
    <t>자재 21</t>
  </si>
  <si>
    <t>1080</t>
  </si>
  <si>
    <t>1180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</si>
  <si>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</si>
  <si>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</si>
  <si>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</si>
  <si>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</si>
  <si>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</si>
  <si>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</si>
  <si>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</si>
  <si>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</si>
  <si>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</si>
  <si>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10040270</t>
  </si>
  <si>
    <t>1074</t>
  </si>
  <si>
    <t>1170</t>
  </si>
  <si>
    <t>자재 31</t>
  </si>
  <si>
    <t>20683890</t>
  </si>
  <si>
    <t>1168</t>
  </si>
  <si>
    <t>자재 32</t>
  </si>
  <si>
    <t>20683895</t>
  </si>
  <si>
    <t>자재 33</t>
  </si>
  <si>
    <t>20683904</t>
  </si>
  <si>
    <t>자재 34</t>
  </si>
  <si>
    <t>20683944</t>
  </si>
  <si>
    <t>자재 35</t>
  </si>
  <si>
    <t>20683947</t>
  </si>
  <si>
    <t>자재 36</t>
  </si>
  <si>
    <t>22076729</t>
  </si>
  <si>
    <t>자재 37</t>
  </si>
  <si>
    <t>자재 38</t>
  </si>
  <si>
    <t>65</t>
  </si>
  <si>
    <t>58</t>
  </si>
  <si>
    <t>자재 39</t>
  </si>
  <si>
    <t>일반</t>
  </si>
  <si>
    <t>207</t>
  </si>
  <si>
    <t>자재 40</t>
  </si>
  <si>
    <t>자재 41</t>
  </si>
  <si>
    <t>자재 42</t>
  </si>
  <si>
    <t>자재 43</t>
  </si>
  <si>
    <t>46</t>
  </si>
  <si>
    <t>39</t>
  </si>
  <si>
    <t>자재 44</t>
  </si>
  <si>
    <t>43</t>
  </si>
  <si>
    <t>자재 45</t>
  </si>
  <si>
    <t>51</t>
  </si>
  <si>
    <t>자재 46</t>
  </si>
  <si>
    <t>48</t>
  </si>
  <si>
    <t>자재 47</t>
  </si>
  <si>
    <t>52</t>
  </si>
  <si>
    <t>642</t>
  </si>
  <si>
    <t>자재 48</t>
  </si>
  <si>
    <t>자재 49</t>
  </si>
  <si>
    <t>관급자재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</si>
  <si>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</si>
  <si>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</si>
  <si>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</si>
  <si>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</si>
  <si>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</si>
  <si>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</si>
  <si>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</si>
  <si>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</si>
  <si>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</si>
  <si>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</si>
  <si>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</si>
  <si>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</si>
  <si>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</si>
  <si>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</si>
  <si>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</si>
  <si>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</si>
  <si>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</si>
  <si>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</si>
  <si>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</si>
  <si>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</si>
  <si>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10035796</t>
  </si>
  <si>
    <t>1105</t>
  </si>
  <si>
    <t>1206</t>
  </si>
  <si>
    <t>자재 70</t>
  </si>
  <si>
    <t>20174772</t>
  </si>
  <si>
    <t>자재 71</t>
  </si>
  <si>
    <t>자재 72</t>
  </si>
  <si>
    <t>10035778</t>
  </si>
  <si>
    <t>자재 73</t>
  </si>
  <si>
    <t>10035750</t>
  </si>
  <si>
    <t>자재 74</t>
  </si>
  <si>
    <t>자재 75</t>
  </si>
  <si>
    <t>자재 76</t>
  </si>
  <si>
    <t>자재 77</t>
  </si>
  <si>
    <t>자재 78</t>
  </si>
  <si>
    <t>20170560</t>
  </si>
  <si>
    <t>638</t>
  </si>
  <si>
    <t>자재 79</t>
  </si>
  <si>
    <t>20409528</t>
  </si>
  <si>
    <t>자재 80</t>
  </si>
  <si>
    <t>20409529</t>
  </si>
  <si>
    <t>자재 81</t>
  </si>
  <si>
    <t>20935638</t>
  </si>
  <si>
    <t>자재 82</t>
  </si>
  <si>
    <t>20170849</t>
  </si>
  <si>
    <t>1205</t>
  </si>
  <si>
    <t>1280</t>
  </si>
  <si>
    <t>자재 83</t>
  </si>
  <si>
    <t>20170850</t>
  </si>
  <si>
    <t>자재 84</t>
  </si>
  <si>
    <t>21030227</t>
  </si>
  <si>
    <t>자재 85</t>
  </si>
  <si>
    <t>자재 86</t>
  </si>
  <si>
    <t>20174174</t>
  </si>
  <si>
    <t>1096</t>
  </si>
  <si>
    <t>1197</t>
  </si>
  <si>
    <t>자재 87</t>
  </si>
  <si>
    <t>1100</t>
  </si>
  <si>
    <t>1198</t>
  </si>
  <si>
    <t>자재 88</t>
  </si>
  <si>
    <t>자재 89</t>
  </si>
  <si>
    <t>자재 90</t>
  </si>
  <si>
    <t>21650913</t>
  </si>
  <si>
    <t>자재 91</t>
  </si>
  <si>
    <t>21650917</t>
  </si>
  <si>
    <t>자재 92</t>
  </si>
  <si>
    <t>10034844</t>
  </si>
  <si>
    <t>1270</t>
  </si>
  <si>
    <t>자재 93</t>
  </si>
  <si>
    <t>자재 94</t>
  </si>
  <si>
    <t>자재 95</t>
  </si>
  <si>
    <t>자재 96</t>
  </si>
  <si>
    <t>1194</t>
  </si>
  <si>
    <t>자재 97</t>
  </si>
  <si>
    <t>자재 98</t>
  </si>
  <si>
    <t>1199</t>
  </si>
  <si>
    <t>자재 99</t>
  </si>
  <si>
    <t>자재 100</t>
  </si>
  <si>
    <t>자재 101</t>
  </si>
  <si>
    <t>1098</t>
  </si>
  <si>
    <t>자재 102</t>
  </si>
  <si>
    <t>1231</t>
  </si>
  <si>
    <t>1303</t>
  </si>
  <si>
    <t>자재 103</t>
  </si>
  <si>
    <t>자재 104</t>
  </si>
  <si>
    <t>자재 105</t>
  </si>
  <si>
    <t>자재 106</t>
  </si>
  <si>
    <t>20170517</t>
  </si>
  <si>
    <t>1204</t>
  </si>
  <si>
    <t>자재 107</t>
  </si>
  <si>
    <t>20170518</t>
  </si>
  <si>
    <t>자재 108</t>
  </si>
  <si>
    <t>20170519</t>
  </si>
  <si>
    <t>자재 109</t>
  </si>
  <si>
    <t>자재 110</t>
  </si>
  <si>
    <t>20174048</t>
  </si>
  <si>
    <t>1112</t>
  </si>
  <si>
    <t>1212</t>
  </si>
  <si>
    <t>자재 111</t>
  </si>
  <si>
    <t>24178996</t>
  </si>
  <si>
    <t>1111</t>
  </si>
  <si>
    <t>1211</t>
  </si>
  <si>
    <t>자재 112</t>
  </si>
  <si>
    <t>24690932</t>
  </si>
  <si>
    <t>자재 113</t>
  </si>
  <si>
    <t>24690929</t>
  </si>
  <si>
    <t>자재 114</t>
  </si>
  <si>
    <t>20175118</t>
  </si>
  <si>
    <t>1114</t>
  </si>
  <si>
    <t>자재 115</t>
  </si>
  <si>
    <t>20175120</t>
  </si>
  <si>
    <t>자재 116</t>
  </si>
  <si>
    <t>20175123</t>
  </si>
  <si>
    <t>1113</t>
  </si>
  <si>
    <t>자재 117</t>
  </si>
  <si>
    <t>20175126</t>
  </si>
  <si>
    <t>자재 118</t>
  </si>
  <si>
    <t>20175128</t>
  </si>
  <si>
    <t>자재 119</t>
  </si>
  <si>
    <t>1215</t>
  </si>
  <si>
    <t>자재 120</t>
  </si>
  <si>
    <t>자재 121</t>
  </si>
  <si>
    <t>10034837</t>
  </si>
  <si>
    <t>1101</t>
  </si>
  <si>
    <t>1201</t>
  </si>
  <si>
    <t>자재 122</t>
  </si>
  <si>
    <t>10034838</t>
  </si>
  <si>
    <t>자재 123</t>
  </si>
  <si>
    <t>10034966</t>
  </si>
  <si>
    <t>1107</t>
  </si>
  <si>
    <t>1203</t>
  </si>
  <si>
    <t>자재 124</t>
  </si>
  <si>
    <t>10034967</t>
  </si>
  <si>
    <t>자재 125</t>
  </si>
  <si>
    <t>10035631</t>
  </si>
  <si>
    <t>1106</t>
  </si>
  <si>
    <t>자재 126</t>
  </si>
  <si>
    <t>10035632</t>
  </si>
  <si>
    <t>자재 127</t>
  </si>
  <si>
    <t>10035635</t>
  </si>
  <si>
    <t>1128</t>
  </si>
  <si>
    <t>1269</t>
  </si>
  <si>
    <t>자재 128</t>
  </si>
  <si>
    <t>10035636</t>
  </si>
  <si>
    <t>자재 129</t>
  </si>
  <si>
    <t>10035637</t>
  </si>
  <si>
    <t>자재 130</t>
  </si>
  <si>
    <t>10035664</t>
  </si>
  <si>
    <t>1104</t>
  </si>
  <si>
    <t>자재 131</t>
  </si>
  <si>
    <t>10035665</t>
  </si>
  <si>
    <t>자재 132</t>
  </si>
  <si>
    <t>자재 133</t>
  </si>
  <si>
    <t>20174478</t>
  </si>
  <si>
    <t>자재 134</t>
  </si>
  <si>
    <t>20174424</t>
  </si>
  <si>
    <t>자재 135</t>
  </si>
  <si>
    <t>20174426</t>
  </si>
  <si>
    <t>자재 136</t>
  </si>
  <si>
    <t>20174434</t>
  </si>
  <si>
    <t>자재 137</t>
  </si>
  <si>
    <t>20174448</t>
  </si>
  <si>
    <t>자재 138</t>
  </si>
  <si>
    <t>20174450</t>
  </si>
  <si>
    <t>자재 139</t>
  </si>
  <si>
    <t>10036362</t>
  </si>
  <si>
    <t>1202</t>
  </si>
  <si>
    <t>자재 140</t>
  </si>
  <si>
    <t>10036363</t>
  </si>
  <si>
    <t>자재 141</t>
  </si>
  <si>
    <t>20174929</t>
  </si>
  <si>
    <t>자재 142</t>
  </si>
  <si>
    <t>20174930</t>
  </si>
  <si>
    <t>자재 143</t>
  </si>
  <si>
    <t>20176478</t>
  </si>
  <si>
    <t>자재 144</t>
  </si>
  <si>
    <t>20176479</t>
  </si>
  <si>
    <t>자재 145</t>
  </si>
  <si>
    <t>자재 146</t>
  </si>
  <si>
    <t>자재 147</t>
  </si>
  <si>
    <t>20935653</t>
  </si>
  <si>
    <t>1229</t>
  </si>
  <si>
    <t>자재 148</t>
  </si>
  <si>
    <t>21871118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</si>
  <si>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</si>
  <si>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</si>
  <si>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</si>
  <si>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</si>
  <si>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</si>
  <si>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</si>
  <si>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</si>
  <si>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</si>
  <si>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</si>
  <si>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</si>
  <si>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</si>
  <si>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</si>
  <si>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</si>
  <si>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</si>
  <si>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</si>
  <si>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</si>
  <si>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</si>
  <si>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</si>
  <si>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</si>
  <si>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</si>
  <si>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자재 156</t>
  </si>
  <si>
    <t>적용율(%)</t>
  </si>
  <si>
    <t>소수점이하자릿수</t>
  </si>
  <si>
    <t>일위대가 코드</t>
  </si>
  <si>
    <t>파상형 경질폴리에틸렌 전선관  80mm  (호표 1)</t>
  </si>
  <si>
    <t xml:space="preserve">      보통인부</t>
  </si>
  <si>
    <t xml:space="preserve">      배전전공</t>
  </si>
  <si>
    <t>절연전선  F-GV, 150㎟, 관내포설  (호표 2)</t>
  </si>
  <si>
    <t xml:space="preserve">      내선전공</t>
  </si>
  <si>
    <t>전주입상관  특고압용  (호표 3)</t>
  </si>
  <si>
    <t>파상형 경질폴리에틸렌 전선관  125mm  (호표 4)</t>
  </si>
  <si>
    <t>관로구방수  ø125  (호표 5)</t>
  </si>
  <si>
    <t xml:space="preserve">      특고압케이블전공</t>
  </si>
  <si>
    <t>맨홀  2,000*1,500*1,500  (호표 6)</t>
  </si>
  <si>
    <t xml:space="preserve">      저압케이블전공</t>
  </si>
  <si>
    <t xml:space="preserve">      줄눈공</t>
  </si>
  <si>
    <t xml:space="preserve">      철공</t>
  </si>
  <si>
    <t xml:space="preserve">      특별인부</t>
  </si>
  <si>
    <t xml:space="preserve">      변전전공</t>
  </si>
  <si>
    <t>전력케이블  FR-CN/CO-W, 22.9KV, 1C 60㎟, 3열포설 1열당  (호표 7)</t>
  </si>
  <si>
    <t>케이블단말접속자재  자기수축, 23KV, 1C, 60-70㎟, 구내  (호표 8)</t>
  </si>
  <si>
    <t>접지봉  14Φ×1000mm  (호표 9)</t>
  </si>
  <si>
    <t>모래깔기지정  인력  (호표 10)</t>
  </si>
  <si>
    <t>맨홀  1,000*1,000*1,000  (호표 11)</t>
  </si>
  <si>
    <t>경질비닐전선관  22mm, 매입  (호표 12)</t>
  </si>
  <si>
    <t>경질비닐전선관  28mm, 매입  (호표 13)</t>
  </si>
  <si>
    <t>파상형 경질폴리에틸렌 전선관  100mm  (호표 14)</t>
  </si>
  <si>
    <t>풀박스  400X400X300mm, 노출, 천정  (호표 15)</t>
  </si>
  <si>
    <t>관로구방수  ø100  (호표 16)</t>
  </si>
  <si>
    <t>전력케이블  F-CV, 0.6/1kV, 1C 240㎟  (호표 17)</t>
  </si>
  <si>
    <t>압착단자  압착터미널, 35㎟, 1C 구내  (호표 18)</t>
  </si>
  <si>
    <t>압착단자  압착터미널, 150㎟, 1C 구내  (호표 19)</t>
  </si>
  <si>
    <t>러그단자  동관단자 2홀, 240㎟, 1C 구내  (호표 20)</t>
  </si>
  <si>
    <t>절연전선  F-GV, 16㎟, 관내포설  (호표 21)</t>
  </si>
  <si>
    <t>절연전선  F-GV, 25㎟, 관내포설  (호표 22)</t>
  </si>
  <si>
    <t>절연전선  F-GV, 35㎟, 관내포설  (호표 23)</t>
  </si>
  <si>
    <t>절연전선  F-GV, 50㎟, 관내포설  (호표 24)</t>
  </si>
  <si>
    <t>절연전선  F-GV, 70㎟, 관내포설  (호표 25)</t>
  </si>
  <si>
    <t>분전함 L-1-A    (호표 26)</t>
  </si>
  <si>
    <t>분전함 P-N    (호표 27)</t>
  </si>
  <si>
    <t>분전함 L-1-M    (호표 28)</t>
  </si>
  <si>
    <t>분전함 L-2-M    (호표 29)</t>
  </si>
  <si>
    <t>분전함 L-3-M    (호표 30)</t>
  </si>
  <si>
    <t>분전함 P-AC    (호표 31)</t>
  </si>
  <si>
    <t>강제전선관  아연도, 54mm, 매입(또는 앵커볼트 설치에 따른 노출공사)  (호표 32)</t>
  </si>
  <si>
    <t>강제전선관  아연도, 70mm, 매입(또는 앵커볼트 설치에 따른 노출공사)  (호표 33)</t>
  </si>
  <si>
    <t>파이프행거  54C  (호표 34)</t>
  </si>
  <si>
    <t>파이프행거  70C  (호표 35)</t>
  </si>
  <si>
    <t>전력케이블  F-CV, 0.6/1kV, 4C 16㎟  (호표 36)</t>
  </si>
  <si>
    <t>전력케이블  F-CV, 0.6/1kV, 1C 70㎟  (호표 37)</t>
  </si>
  <si>
    <t>러그단자  동관단자 2홀, 35㎟, 1C 구내  (호표 38)</t>
  </si>
  <si>
    <t>러그단자  동관단자 2홀, 70㎟, 1C 구내  (호표 39)</t>
  </si>
  <si>
    <t>합성수지제 가요전선관  하이렉스-CD(난연성), 16mm, 매입  (호표 40)</t>
  </si>
  <si>
    <t>스위치박스  ST, 1개용 54mm  (호표 41)</t>
  </si>
  <si>
    <t>아우트렛박스  4각 54mm  (호표 42)</t>
  </si>
  <si>
    <t>절연전선(3열동시포설)  HFIX, 2.5㎟, 관내배선  (호표 43)</t>
  </si>
  <si>
    <t>절연전선(3열동시포설)  HFIX, 2.5㎟, 관내배선 바닥공사  (호표 44)</t>
  </si>
  <si>
    <t>콘센트  매입-접지형, 15A 250V 2구  (호표 45)</t>
  </si>
  <si>
    <t>콘센트  방우형, 15A 250V 1구  (호표 46)</t>
  </si>
  <si>
    <t>콘센트  대기전력차단콘센트 2구  (호표 47)</t>
  </si>
  <si>
    <t>풀박스  100X100X100mm, 매입, 천정  (호표 48)</t>
  </si>
  <si>
    <t>시스템박스  전선관용(매입)  (호표 49)</t>
  </si>
  <si>
    <t>1종금속제가요전선관  16mm 비방수, 노출  (호표 50)</t>
  </si>
  <si>
    <t>합성수지제 가요전선관  HI-LEX-PF(난연성), 16mm, 매입  (호표 51)</t>
  </si>
  <si>
    <t>아우트렛박스  8각 54mm  (호표 52)</t>
  </si>
  <si>
    <t>절연전선(2열동시포설)  HFIX, 2.5㎟, 관내배선  (호표 53)</t>
  </si>
  <si>
    <t>절연전선(4열동시포설)  HFIX, 2.5㎟, 관내배선  (호표 54)</t>
  </si>
  <si>
    <t>절연전선(5열동시포설)  HFIX, 2.5㎟, 관내배선  (호표 55)</t>
  </si>
  <si>
    <t>등기구 "A"TYPE  LED 40W X 1 (LED 슬림매입등)300x1200  (호표 56)</t>
  </si>
  <si>
    <t>등기구 "B"TYPE  LED 40W X 1 (LED 슬림직부등)300x1200  (호표 57)</t>
  </si>
  <si>
    <t>등기구 "C"TYPE  LED 15W X 1 (LED 다운라이트)  (호표 58)</t>
  </si>
  <si>
    <t>등기구 "D"TYPE  LED 15W X 1 (LED 원형직부등)  (호표 59)</t>
  </si>
  <si>
    <t>등기구 "E"TYPE  LED 15W X 1(LED 벽부등)  (호표 60)</t>
  </si>
  <si>
    <t>스위치  단로, 15A 250V, 1구  (호표 61)</t>
  </si>
  <si>
    <t>스위치  단로, 15A 250V, 2구  (호표 62)</t>
  </si>
  <si>
    <t>스위치  단로, 15A 250V, 3구  (호표 63)</t>
  </si>
  <si>
    <t>일괄소등스위치  1회로  (호표 64)</t>
  </si>
  <si>
    <t>콘센트  매입-접지형, 15A 250V 1구  (호표 65)</t>
  </si>
  <si>
    <t>합성수지제 가요전선관  하이렉스-CD(난연성), 22mm, 매입  (호표 66)</t>
  </si>
  <si>
    <t>절연전선(6열동시포설)  HFIX, 2.5㎟, 관내배선  (호표 67)</t>
  </si>
  <si>
    <t>절연전선(7열동시포설)  HFIX, 2.5㎟, 관내배선  (호표 68)</t>
  </si>
  <si>
    <t>등기구 "F"TYPE  LED 12W X 1 (LED 센서등)  (호표 69)</t>
  </si>
  <si>
    <t>파상형 경질폴리에틸렌 전선관  30mm  (호표 70)</t>
  </si>
  <si>
    <t>등기구 "G"TYPE  LED 50W X 1 (LED 보안등, 재사용)  (호표 71)</t>
  </si>
  <si>
    <t>POLE LIGHT 인력설치 (재사용)  5m이하, 1등용  (호표 72)</t>
  </si>
  <si>
    <t>파상형 경질폴리에틸렌 전선관  40mm  (호표 73)</t>
  </si>
  <si>
    <t>전력케이블  F-CV, 0.6/1kV, 2C 6㎟  (호표 74)</t>
  </si>
  <si>
    <t>절연전선  F-GV, 6㎟, 관내포설  (호표 75)</t>
  </si>
  <si>
    <t>1종금속제가요전선관  28mm 방수, 노출  (호표 76)</t>
  </si>
  <si>
    <t>1종금속제가요전선관  42mm 방수, 노출  (호표 77)</t>
  </si>
  <si>
    <t>전력케이블  F-CV, 0.6/1kV, 4C 4㎟  (호표 78)</t>
  </si>
  <si>
    <t>절연전선  F-GV, 4㎟, 관내포설  (호표 79)</t>
  </si>
  <si>
    <t>케이블트레이  W700x100Hx2.3t  (호표 80)</t>
  </si>
  <si>
    <t>케이블트레이지지대(옥외수평)  W700  (호표 81)</t>
  </si>
  <si>
    <t>케이블트레이  W300x100Hx2.3t  (호표 82)</t>
  </si>
  <si>
    <t>케이블트레이지지대(수직)  W300  (호표 83)</t>
  </si>
  <si>
    <t>절연전선  F-GV, 120㎟, 직매포설  (호표 84)</t>
  </si>
  <si>
    <t>터파기(기계9:1)  보통토사.백호90%+인력10%  (호표 85)</t>
  </si>
  <si>
    <t>되메우기  토사,인력  (호표 86)</t>
  </si>
  <si>
    <t>현장내잔토처리  소운반.고르기  (호표 87)</t>
  </si>
  <si>
    <t>잡석깔기지정  떨공이다지기  (호표 88)</t>
  </si>
  <si>
    <t>굴삭기 (무한궤도)  0.7 ㎥  (호표 89)</t>
  </si>
  <si>
    <t xml:space="preserve">      건설기계운전사</t>
  </si>
  <si>
    <t>덤프트럭  15 ton  (호표 90)</t>
  </si>
  <si>
    <t>래 머  80 kg  (호표 91)</t>
  </si>
  <si>
    <t xml:space="preserve">      일반기계운전사</t>
  </si>
  <si>
    <t>CONC인력비빔타설(1:4:8)  무근구조물  (호표 92)</t>
  </si>
  <si>
    <t xml:space="preserve">      콘크리트공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</si>
  <si>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</si>
  <si>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</si>
  <si>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</si>
  <si>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</si>
  <si>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</si>
  <si>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</si>
  <si>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</si>
  <si>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</si>
  <si>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</si>
  <si>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</si>
  <si>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</si>
  <si>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일위대가목록+자재</t>
  </si>
  <si>
    <t>파상형 경질폴리에틸렌 전선관  80mm  m  (호표 1)</t>
  </si>
  <si>
    <t>전기품셈 4-31</t>
  </si>
  <si>
    <t>0.022*1</t>
  </si>
  <si>
    <t>0.009*1</t>
  </si>
  <si>
    <t>절연전선  F-GV, 150㎟, 관내포설  m  (호표 2)</t>
  </si>
  <si>
    <t>전기품셈 3-38</t>
  </si>
  <si>
    <t>0.011*1 * 150%</t>
  </si>
  <si>
    <t>0.011*1</t>
  </si>
  <si>
    <t>전주입상관  특고압용  개소  (호표 3)</t>
  </si>
  <si>
    <t>전기4-33</t>
  </si>
  <si>
    <t>0.11*1</t>
  </si>
  <si>
    <t>0.22*1</t>
  </si>
  <si>
    <t>파상형 경질폴리에틸렌 전선관  125mm  m  (호표 4)</t>
  </si>
  <si>
    <t>0.048*1</t>
  </si>
  <si>
    <t>0.016*1</t>
  </si>
  <si>
    <t>관로구방수  ø125  개  (호표 5)</t>
  </si>
  <si>
    <t>전기품셈 2-18</t>
  </si>
  <si>
    <t>0.132*0.9</t>
  </si>
  <si>
    <t>맨홀  2,000*1,500*1,500  개소  (호표 6)</t>
  </si>
  <si>
    <t>0.08*1</t>
  </si>
  <si>
    <t>0.007*1</t>
  </si>
  <si>
    <t>전력케이블  FR-CN/CO-W, 22.9KV, 1C 60㎟, 3열포설 1열당  m  (호표 7)</t>
  </si>
  <si>
    <t>전기품셈 4-34</t>
  </si>
  <si>
    <t>0.00846*1 * 87%</t>
  </si>
  <si>
    <t>0.00846*1</t>
  </si>
  <si>
    <t>케이블단말접속자재  자기수축, 23KV, 1C, 60-70㎟, 구내  Kit  (호표 8)</t>
  </si>
  <si>
    <t>전기품셈 4-37</t>
  </si>
  <si>
    <t>0.86*1</t>
  </si>
  <si>
    <t>접지봉  14Φ×1000mm  개소  (호표 9)</t>
  </si>
  <si>
    <t>맨홀  1,000*1,000*1,000  개소  (호표 11)</t>
  </si>
  <si>
    <t>경질비닐전선관  22mm, 매입  m  (호표 12)</t>
  </si>
  <si>
    <t>전기품셈 5-1</t>
  </si>
  <si>
    <t>0.06*1 * 90%</t>
  </si>
  <si>
    <t>0.06*1</t>
  </si>
  <si>
    <t>경질비닐전선관  28mm, 매입  m  (호표 13)</t>
  </si>
  <si>
    <t>0.08*1 * 90%</t>
  </si>
  <si>
    <t>파상형 경질폴리에틸렌 전선관  100mm  m  (호표 14)</t>
  </si>
  <si>
    <t>0.036*1</t>
  </si>
  <si>
    <t>0.012*1</t>
  </si>
  <si>
    <t>풀박스  400X400X300mm, 노출, 천정  개  (호표 15)</t>
  </si>
  <si>
    <t>전기품셈 5-4</t>
  </si>
  <si>
    <t>0.35*1 * 120%</t>
  </si>
  <si>
    <t>관로구방수  ø100  1개  (호표 16)</t>
  </si>
  <si>
    <t>0.132*0.62</t>
  </si>
  <si>
    <t>전력케이블  F-CV, 0.6/1kV, 1C 240㎟  m  (호표 17)</t>
  </si>
  <si>
    <t>전기품셈 5-11</t>
  </si>
  <si>
    <t>0.136*1</t>
  </si>
  <si>
    <t>압착단자  압착터미널, 35㎟, 1C 구내  개소  (호표 18)</t>
  </si>
  <si>
    <t>0.36*1 * 30% * 50%</t>
  </si>
  <si>
    <t>압착단자  압착터미널, 150㎟, 1C 구내  개소  (호표 19)</t>
  </si>
  <si>
    <t>0.68*1 * 30% * 50%</t>
  </si>
  <si>
    <t>러그단자  동관단자 2홀, 240㎟, 1C 구내  개소  (호표 20)</t>
  </si>
  <si>
    <t>0.84*1 * 30% * 50%</t>
  </si>
  <si>
    <t>절연전선  F-GV, 16㎟, 관내포설  m  (호표 21)</t>
  </si>
  <si>
    <t>전기3-38</t>
  </si>
  <si>
    <t>0.007*1 * 150%</t>
  </si>
  <si>
    <t>절연전선  F-GV, 25㎟, 관내포설  m  (호표 22)</t>
  </si>
  <si>
    <t>절연전선  F-GV, 35㎟, 관내포설  m  (호표 23)</t>
  </si>
  <si>
    <t>절연전선  F-GV, 50㎟, 관내포설  m  (호표 24)</t>
  </si>
  <si>
    <t>0.008*1 * 150%</t>
  </si>
  <si>
    <t>0.008*1</t>
  </si>
  <si>
    <t>절연전선  F-GV, 70㎟, 관내포설  m  (호표 25)</t>
  </si>
  <si>
    <t>전기품셈 5-10</t>
  </si>
  <si>
    <t>분전함 L-1-A    면  (호표 26)</t>
  </si>
  <si>
    <t>전기품셈 5-18</t>
  </si>
  <si>
    <t>0.962*1 * 35%</t>
  </si>
  <si>
    <t>분전함 P-N    면  (호표 27)</t>
  </si>
  <si>
    <t>4.606*1 * 35%</t>
  </si>
  <si>
    <t>분전함 L-1-M    면  (호표 28)</t>
  </si>
  <si>
    <t>22.646*1 * 90% * 35%</t>
  </si>
  <si>
    <t>분전함 L-2-M    면  (호표 29)</t>
  </si>
  <si>
    <t>7.199*1 * 90% * 35%</t>
  </si>
  <si>
    <t>분전함 L-3-M    면  (호표 30)</t>
  </si>
  <si>
    <t>8.839*1 * 90% * 35%</t>
  </si>
  <si>
    <t>분전함 P-AC    면  (호표 31)</t>
  </si>
  <si>
    <t>11.589*1 * 90% * 35%</t>
  </si>
  <si>
    <t>강제전선관  아연도, 54mm, 매입(또는 앵커볼트 설치에 따른 노출공사)  m  (호표 32)</t>
  </si>
  <si>
    <t>0.34*1 * 90%</t>
  </si>
  <si>
    <t>0.34*1</t>
  </si>
  <si>
    <t>강제전선관  아연도, 70mm, 매입(또는 앵커볼트 설치에 따른 노출공사)  m  (호표 33)</t>
  </si>
  <si>
    <t>0.44*1 * 90%</t>
  </si>
  <si>
    <t>0.44*1</t>
  </si>
  <si>
    <t>파이프행거  54C  개소  (호표 34)</t>
  </si>
  <si>
    <t>전기품셈 5-29</t>
  </si>
  <si>
    <t>파이프행거  70C  개소  (호표 35)</t>
  </si>
  <si>
    <t>전력케이블  F-CV, 0.6/1kV, 4C 16㎟  m  (호표 36)</t>
  </si>
  <si>
    <t>0.023*1</t>
  </si>
  <si>
    <t>전력케이블  F-CV, 0.6/1kV, 1C 70㎟  m  (호표 37)</t>
  </si>
  <si>
    <t>0.057*1</t>
  </si>
  <si>
    <t>러그단자  동관단자 2홀, 35㎟, 1C 구내  개소  (호표 38)</t>
  </si>
  <si>
    <t>러그단자  동관단자 2홀, 70㎟, 1C 구내  개소  (호표 39)</t>
  </si>
  <si>
    <t>0.47*1 * 30% * 50%</t>
  </si>
  <si>
    <t>합성수지제 가요전선관  하이렉스-CD(난연성), 16mm, 매입  m  (호표 40)</t>
  </si>
  <si>
    <t>0.05*1 * 80% * 90%</t>
  </si>
  <si>
    <t>0.05*1</t>
  </si>
  <si>
    <t>스위치박스  ST, 1개용 54mm  개  (호표 41)</t>
  </si>
  <si>
    <t>전기품셈 5-3</t>
  </si>
  <si>
    <t>0.12*1 * 90%</t>
  </si>
  <si>
    <t>아우트렛박스  4각 54mm  개  (호표 42)</t>
  </si>
  <si>
    <t>절연전선(3열동시포설)  HFIX, 2.5㎟, 관내배선  m  (호표 43)</t>
  </si>
  <si>
    <t>0.01*1 * 87%</t>
  </si>
  <si>
    <t>0.01*1</t>
  </si>
  <si>
    <t>절연전선(3열동시포설)  HFIX, 2.5㎟, 관내배선 바닥공사  m  (호표 44)</t>
  </si>
  <si>
    <t>0.01*1 * 80% * 87%</t>
  </si>
  <si>
    <t>콘센트  매입-접지형, 15A 250V 2구  개  (호표 45)</t>
  </si>
  <si>
    <t>전기품셈 5-23</t>
  </si>
  <si>
    <t>0.065*1</t>
  </si>
  <si>
    <t>콘센트  방우형, 15A 250V 1구  개  (호표 46)</t>
  </si>
  <si>
    <t>콘센트  대기전력차단콘센트 2구  개  (호표 47)</t>
  </si>
  <si>
    <t>풀박스  100X100X100mm, 매입, 천정  개  (호표 48)</t>
  </si>
  <si>
    <t>0.04*1</t>
  </si>
  <si>
    <t>시스템박스  전선관용(매입)  개  (호표 49)</t>
  </si>
  <si>
    <t>전기품셈 5-5</t>
  </si>
  <si>
    <t>0.41*1 * 90%</t>
  </si>
  <si>
    <t>1종금속제가요전선관  16mm 비방수, 노출  m  (호표 50)</t>
  </si>
  <si>
    <t>0.044*1 * 90%</t>
  </si>
  <si>
    <t>0.044*1</t>
  </si>
  <si>
    <t>합성수지제 가요전선관  HI-LEX-PF(난연성), 16mm, 매입  m  (호표 51)</t>
  </si>
  <si>
    <t>아우트렛박스  8각 54mm  개  (호표 52)</t>
  </si>
  <si>
    <t>절연전선(2열동시포설)  HFIX, 2.5㎟, 관내배선  m  (호표 53)</t>
  </si>
  <si>
    <t>0.01*1 * 90%</t>
  </si>
  <si>
    <t>절연전선(4열동시포설)  HFIX, 2.5㎟, 관내배선  m  (호표 54)</t>
  </si>
  <si>
    <t>0.01*1 * 85%</t>
  </si>
  <si>
    <t>절연전선(5열동시포설)  HFIX, 2.5㎟, 관내배선  m  (호표 55)</t>
  </si>
  <si>
    <t>0.01*1 * 84%</t>
  </si>
  <si>
    <t>등기구 "A"TYPE  LED 40W X 1 (LED 슬림매입등)300x1200  개  (호표 56)</t>
  </si>
  <si>
    <t>전기품셈 5-25-3</t>
  </si>
  <si>
    <t>0.263*1</t>
  </si>
  <si>
    <t>등기구 "B"TYPE  LED 40W X 1 (LED 슬림직부등)300x1200  개  (호표 57)</t>
  </si>
  <si>
    <t>0.221*1</t>
  </si>
  <si>
    <t>등기구 "C"TYPE  LED 15W X 1 (LED 다운라이트)  개  (호표 58)</t>
  </si>
  <si>
    <t>0.155*1</t>
  </si>
  <si>
    <t>등기구 "D"TYPE  LED 15W X 1 (LED 원형직부등)  개  (호표 59)</t>
  </si>
  <si>
    <t>0.117*1</t>
  </si>
  <si>
    <t>등기구 "E"TYPE  LED 15W X 1(LED 벽부등)  개  (호표 60)</t>
  </si>
  <si>
    <t>스위치  단로, 15A 250V, 1구  개  (호표 61)</t>
  </si>
  <si>
    <t>0.085*1</t>
  </si>
  <si>
    <t>스위치  단로, 15A 250V, 2구  개  (호표 62)</t>
  </si>
  <si>
    <t>스위치  단로, 15A 250V, 3구  개  (호표 63)</t>
  </si>
  <si>
    <t>일괄소등스위치  1회로  개  (호표 64)</t>
  </si>
  <si>
    <t>콘센트  매입-접지형, 15A 250V 1구  개  (호표 65)</t>
  </si>
  <si>
    <t>합성수지제 가요전선관  하이렉스-CD(난연성), 22mm, 매입  m  (호표 66)</t>
  </si>
  <si>
    <t>0.06*1 * 80% * 90%</t>
  </si>
  <si>
    <t>절연전선(6열동시포설)  HFIX, 2.5㎟, 관내배선  m  (호표 67)</t>
  </si>
  <si>
    <t>0.01*1 * 83%</t>
  </si>
  <si>
    <t>절연전선(7열동시포설)  HFIX, 2.5㎟, 관내배선  m  (호표 68)</t>
  </si>
  <si>
    <t>등기구 "F"TYPE  LED 12W X 1 (LED 센서등)  개  (호표 69)</t>
  </si>
  <si>
    <t>파상형 경질폴리에틸렌 전선관  30mm  m  (호표 70)</t>
  </si>
  <si>
    <t>0.014*1</t>
  </si>
  <si>
    <t>0.006*1</t>
  </si>
  <si>
    <t>등기구 "G"TYPE  LED 50W X 1 (LED 보안등, 재사용)  개  (호표 71)</t>
  </si>
  <si>
    <t>전기품셈 5-26-3</t>
  </si>
  <si>
    <t>0.183*1 * 50%</t>
  </si>
  <si>
    <t>POLE LIGHT 인력설치 (재사용)  5m이하, 1등용  본  (호표 72)</t>
  </si>
  <si>
    <t>전기품셈 5-27</t>
  </si>
  <si>
    <t>2.1*1 * 80%</t>
  </si>
  <si>
    <t>파상형 경질폴리에틸렌 전선관  40mm  m  (호표 73)</t>
  </si>
  <si>
    <t>0.018*1</t>
  </si>
  <si>
    <t>전력케이블  F-CV, 0.6/1kV, 2C 6㎟  m  (호표 74)</t>
  </si>
  <si>
    <t>절연전선  F-GV, 6㎟, 관내포설  m  (호표 75)</t>
  </si>
  <si>
    <t>0.006*1 * 150%</t>
  </si>
  <si>
    <t>1종금속제가요전선관  28mm 방수, 노출  m  (호표 76)</t>
  </si>
  <si>
    <t>0.059*1 * 90%</t>
  </si>
  <si>
    <t>0.059*1</t>
  </si>
  <si>
    <t>1종금속제가요전선관  42mm 방수, 노출  m  (호표 77)</t>
  </si>
  <si>
    <t>0.104*1 * 90%</t>
  </si>
  <si>
    <t>0.104*1</t>
  </si>
  <si>
    <t>전력케이블  F-CV, 0.6/1kV, 4C 4㎟  m  (호표 78)</t>
  </si>
  <si>
    <t>전기품셈 5-13</t>
  </si>
  <si>
    <t>0.029*1</t>
  </si>
  <si>
    <t>절연전선  F-GV, 4㎟, 관내포설  m  (호표 79)</t>
  </si>
  <si>
    <t>케이블트레이  W300x100Hx2.3t  m  (호표 82)</t>
  </si>
  <si>
    <t>전기품셈 5-8</t>
  </si>
  <si>
    <t>0.23*1 * 90%</t>
  </si>
  <si>
    <t>케이블트레이지지대(수직)  W300  개소  (호표 83)</t>
  </si>
  <si>
    <t>절연전선  F-GV, 120㎟, 직매포설  m  (호표 84)</t>
  </si>
  <si>
    <t>잡석깔기지정  떨공이다지기  ㎥  (호표 88)</t>
  </si>
  <si>
    <t>토목품셈 5-19</t>
  </si>
  <si>
    <t>1.1*1</t>
  </si>
  <si>
    <t>공 사 원 가 계 산 서</t>
  </si>
  <si>
    <t>공사명 : SDV보안평가지원센터전기공사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</si>
  <si>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</si>
  <si>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</si>
  <si>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</si>
  <si>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</si>
  <si>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</si>
  <si>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</si>
  <si>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</si>
  <si>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</si>
  <si>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</si>
  <si>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</si>
  <si>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</si>
  <si>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</si>
  <si>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</si>
  <si>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</si>
  <si>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</si>
  <si>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</si>
  <si>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</si>
  <si>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</si>
  <si>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</si>
  <si>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</si>
  <si>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</si>
  <si>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</si>
  <si>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</si>
  <si>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</si>
  <si>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</si>
  <si>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</si>
  <si>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</si>
  <si>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</si>
  <si>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</si>
  <si>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</si>
  <si>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</si>
  <si>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</si>
  <si>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</si>
  <si>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</si>
  <si>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</si>
  <si>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</si>
  <si>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</si>
  <si>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</si>
  <si>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</si>
  <si>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</si>
  <si>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(재료비+직노+도급자관급자재비) * 2.28% + 기초액</t>
  </si>
  <si>
    <t>CB</t>
  </si>
  <si>
    <t>노인장기요양보험료</t>
  </si>
  <si>
    <t>건강보험료 * 13.14%</t>
  </si>
  <si>
    <t>CG</t>
  </si>
  <si>
    <t>기   타    경   비</t>
  </si>
  <si>
    <t>(재료비+노무비) * 4.6%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</si>
  <si>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</si>
  <si>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</si>
  <si>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</si>
  <si>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</si>
  <si>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</si>
  <si>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</si>
  <si>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</si>
  <si>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</si>
  <si>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</si>
  <si>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</si>
  <si>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</si>
  <si>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</si>
  <si>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</si>
  <si>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</si>
  <si>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</si>
  <si>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관급자 관급자재</t>
  </si>
  <si>
    <t>DK</t>
  </si>
  <si>
    <t>도급자 관급자재</t>
  </si>
  <si>
    <t>S2</t>
  </si>
  <si>
    <t>총   공   사    비</t>
  </si>
  <si>
    <t>E1</t>
  </si>
  <si>
    <t>한전불입금 및 재해예방기술지도비</t>
  </si>
  <si>
    <t>E2</t>
  </si>
  <si>
    <t>겐트리 구조물설치</t>
  </si>
  <si>
    <t>S3</t>
  </si>
  <si>
    <t>총              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</si>
  <si>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</si>
  <si>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</si>
  <si>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</si>
  <si>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</si>
  <si>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</si>
  <si>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</si>
  <si>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</si>
  <si>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</si>
  <si>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</si>
  <si>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</si>
  <si>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</si>
  <si>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</si>
  <si>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</si>
  <si>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</si>
  <si>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TTTFT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</si>
  <si>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</si>
  <si>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</si>
  <si>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</si>
  <si>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</si>
  <si>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</si>
  <si>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</si>
  <si>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</si>
  <si>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</si>
  <si>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</si>
  <si>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</si>
  <si>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</si>
  <si>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</si>
  <si>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</si>
  <si>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</si>
  <si>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</si>
  <si>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</si>
  <si>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</si>
  <si>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</si>
  <si>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</si>
  <si>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...</t>
  </si>
  <si>
    <t>천단위미만절사</t>
    <phoneticPr fontId="1" type="noConversion"/>
  </si>
  <si>
    <t>계 * 4%</t>
    <phoneticPr fontId="1" type="noConversion"/>
  </si>
  <si>
    <t>(노무비+경비+일반관리비) * 10%</t>
    <phoneticPr fontId="1" type="noConversion"/>
  </si>
  <si>
    <t>5E51F595E445BF8D723EA46C549F8AD95892F9</t>
  </si>
  <si>
    <t>메시형울타리</t>
  </si>
  <si>
    <t>W2000xH2000 mm</t>
  </si>
  <si>
    <t>22720810</t>
  </si>
  <si>
    <t>5E51F595E445BF8D723EA46C549F8AD95892F8</t>
  </si>
  <si>
    <t>메시형울타리 출입문(쌍문)</t>
  </si>
  <si>
    <t>22715939</t>
  </si>
  <si>
    <t>W2,000xH2,100 mm</t>
    <phoneticPr fontId="1" type="noConversion"/>
  </si>
  <si>
    <t>자재 156</t>
    <phoneticPr fontId="1" type="noConversion"/>
  </si>
  <si>
    <t>자재 157</t>
    <phoneticPr fontId="1" type="noConversion"/>
  </si>
  <si>
    <t>010202</t>
  </si>
  <si>
    <t>0102025E51F595E445BF8D723EA46C549F8AD95892F9</t>
  </si>
  <si>
    <t>0102025E51F595E445BF8D723EA46C549F8AD95892F8</t>
  </si>
  <si>
    <t>586DE5CCCB48B18F1E269E63F728001</t>
  </si>
  <si>
    <t>010202586DE5CCCB48B18F1E269E63F728001</t>
  </si>
  <si>
    <t>변경검사</t>
    <phoneticPr fontId="1" type="noConversion"/>
  </si>
  <si>
    <t>사용전검사료</t>
    <phoneticPr fontId="1" type="noConversion"/>
  </si>
  <si>
    <t>재해예방기술지도비</t>
    <phoneticPr fontId="1" type="noConversion"/>
  </si>
  <si>
    <t>01 SDV보안평가지원센터전기공사</t>
    <phoneticPr fontId="1" type="noConversion"/>
  </si>
  <si>
    <t>0101 옥외인입 및 수변전설비공사</t>
    <phoneticPr fontId="1" type="noConversion"/>
  </si>
  <si>
    <t>0102 전력간선설비공사</t>
    <phoneticPr fontId="1" type="noConversion"/>
  </si>
  <si>
    <t>0103 전열설비공사</t>
    <phoneticPr fontId="1" type="noConversion"/>
  </si>
  <si>
    <t>010301 지상1층 전열설비공사</t>
    <phoneticPr fontId="1" type="noConversion"/>
  </si>
  <si>
    <t>010302 지상2층 전열설비공사</t>
    <phoneticPr fontId="1" type="noConversion"/>
  </si>
  <si>
    <t>010303 지상3층 전열설비공사</t>
    <phoneticPr fontId="1" type="noConversion"/>
  </si>
  <si>
    <t>0104 전등설비공사</t>
    <phoneticPr fontId="1" type="noConversion"/>
  </si>
  <si>
    <t>010401 지상1층 전등설비공사</t>
    <phoneticPr fontId="1" type="noConversion"/>
  </si>
  <si>
    <t>010402 지상2층 전등설비공사</t>
    <phoneticPr fontId="1" type="noConversion"/>
  </si>
  <si>
    <t>010403 지상3층 전등설비공사</t>
    <phoneticPr fontId="1" type="noConversion"/>
  </si>
  <si>
    <t>0105 냉난방, 전열교환기설비공사</t>
    <phoneticPr fontId="1" type="noConversion"/>
  </si>
  <si>
    <t>0106 CABLE TRAY 및 DUCT설비공사</t>
    <phoneticPr fontId="1" type="noConversion"/>
  </si>
  <si>
    <t>0107 접지공사</t>
    <phoneticPr fontId="1" type="noConversion"/>
  </si>
  <si>
    <t>02 관급자설치관급자재</t>
    <phoneticPr fontId="1" type="noConversion"/>
  </si>
  <si>
    <t>0201 수배전반</t>
    <phoneticPr fontId="1" type="noConversion"/>
  </si>
  <si>
    <t>0202 메시형울타리</t>
    <phoneticPr fontId="1" type="noConversion"/>
  </si>
  <si>
    <t>03 도급자설치관급자재</t>
    <phoneticPr fontId="1" type="noConversion"/>
  </si>
  <si>
    <t>0301 분전함</t>
    <phoneticPr fontId="1" type="noConversion"/>
  </si>
  <si>
    <t>0302 LED 등기구</t>
    <phoneticPr fontId="1" type="noConversion"/>
  </si>
  <si>
    <t>04 별도공사(사용전검사료,재해예방기술지도비)</t>
    <phoneticPr fontId="1" type="noConversion"/>
  </si>
  <si>
    <t>0401 사용전검사료</t>
    <phoneticPr fontId="1" type="noConversion"/>
  </si>
  <si>
    <t>0402 재해예방기술지도 수수료</t>
    <phoneticPr fontId="1" type="noConversion"/>
  </si>
  <si>
    <t>05 별도공사(겐트리)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</si>
</sst>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0#;\-#,##0.00#;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quotePrefix="1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0" fillId="0" borderId="2" xfId="0" quotePrefix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77" fontId="5" fillId="0" borderId="2" xfId="0" applyNumberFormat="1" applyFont="1" applyBorder="1" applyAlignment="1">
      <alignment vertical="center" wrapText="1"/>
    </xf>
    <xf numFmtId="41" fontId="0" fillId="0" borderId="1" xfId="1" quotePrefix="1" applyFont="1" applyBorder="1" applyAlignment="1">
      <alignment vertical="center" wrapText="1"/>
    </xf>
    <xf numFmtId="179" fontId="5" fillId="0" borderId="2" xfId="0" quotePrefix="1" applyNumberFormat="1" applyFont="1" applyBorder="1" applyAlignment="1">
      <alignment vertical="center" wrapText="1"/>
    </xf>
    <xf numFmtId="179" fontId="5" fillId="0" borderId="2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31D1C-A2C1-4493-B26B-DAE47C126BFB}">
  <sheetPr>
    <pageSetUpPr fitToPage="1"/>
  </sheetPr>
  <dimension ref="A1:G33"/>
  <sheetViews>
    <sheetView tabSelected="1" view="pageBreakPreview" topLeftCell="B1" zoomScaleNormal="100" zoomScaleSheetLayoutView="100" workbookViewId="0">
      <selection activeCell="E8" sqref="E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8" t="s">
        <v>2166</v>
      </c>
      <c r="C1" s="28"/>
      <c r="D1" s="28"/>
      <c r="E1" s="28"/>
      <c r="F1" s="28"/>
      <c r="G1" s="28"/>
    </row>
    <row r="2" spans="1:7" ht="21.95" customHeight="1" x14ac:dyDescent="0.3">
      <c r="B2" s="29" t="s">
        <v>2167</v>
      </c>
      <c r="C2" s="29"/>
      <c r="D2" s="29"/>
      <c r="E2" s="29"/>
      <c r="F2" s="30" t="str">
        <f>"금액 : "&amp;TEXT(E33,"[DBNUM4]")&amp;"원(\" &amp; TEXT(E33,"#,###")&amp;")"</f>
        <v>금액 : 영원(\)</v>
      </c>
      <c r="G2" s="30"/>
    </row>
    <row r="3" spans="1:7" ht="21.95" customHeight="1" x14ac:dyDescent="0.3">
      <c r="B3" s="31" t="s">
        <v>2168</v>
      </c>
      <c r="C3" s="31"/>
      <c r="D3" s="31"/>
      <c r="E3" s="17" t="s">
        <v>2169</v>
      </c>
      <c r="F3" s="17" t="s">
        <v>2170</v>
      </c>
      <c r="G3" s="17" t="s">
        <v>726</v>
      </c>
    </row>
    <row r="4" spans="1:7" ht="21.95" customHeight="1" x14ac:dyDescent="0.3">
      <c r="A4" s="1" t="s">
        <v>2175</v>
      </c>
      <c r="B4" s="32" t="s">
        <v>2171</v>
      </c>
      <c r="C4" s="32" t="s">
        <v>2172</v>
      </c>
      <c r="D4" s="18" t="s">
        <v>2176</v>
      </c>
      <c r="E4" s="19">
        <f>TRUNC(공종별집계표!F5, 0)</f>
        <v>0</v>
      </c>
      <c r="F4" s="9" t="s">
        <v>51</v>
      </c>
      <c r="G4" s="9" t="s">
        <v>51</v>
      </c>
    </row>
    <row r="5" spans="1:7" ht="21.95" customHeight="1" x14ac:dyDescent="0.3">
      <c r="A5" s="1" t="s">
        <v>2177</v>
      </c>
      <c r="B5" s="32"/>
      <c r="C5" s="32"/>
      <c r="D5" s="18" t="s">
        <v>2178</v>
      </c>
      <c r="E5" s="19">
        <v>0</v>
      </c>
      <c r="F5" s="9" t="s">
        <v>51</v>
      </c>
      <c r="G5" s="9" t="s">
        <v>51</v>
      </c>
    </row>
    <row r="6" spans="1:7" ht="21.95" customHeight="1" x14ac:dyDescent="0.3">
      <c r="A6" s="1" t="s">
        <v>2179</v>
      </c>
      <c r="B6" s="32"/>
      <c r="C6" s="32"/>
      <c r="D6" s="18" t="s">
        <v>2180</v>
      </c>
      <c r="E6" s="19">
        <v>0</v>
      </c>
      <c r="F6" s="9" t="s">
        <v>51</v>
      </c>
      <c r="G6" s="9" t="s">
        <v>51</v>
      </c>
    </row>
    <row r="7" spans="1:7" ht="21.95" customHeight="1" x14ac:dyDescent="0.3">
      <c r="A7" s="1" t="s">
        <v>2181</v>
      </c>
      <c r="B7" s="32"/>
      <c r="C7" s="32"/>
      <c r="D7" s="18" t="s">
        <v>2182</v>
      </c>
      <c r="E7" s="19">
        <f>TRUNC(E4+E5-E6, 0)</f>
        <v>0</v>
      </c>
      <c r="F7" s="9" t="s">
        <v>51</v>
      </c>
      <c r="G7" s="9" t="s">
        <v>51</v>
      </c>
    </row>
    <row r="8" spans="1:7" ht="21.95" customHeight="1" x14ac:dyDescent="0.3">
      <c r="A8" s="1" t="s">
        <v>2183</v>
      </c>
      <c r="B8" s="32"/>
      <c r="C8" s="32" t="s">
        <v>2173</v>
      </c>
      <c r="D8" s="18" t="s">
        <v>2184</v>
      </c>
      <c r="E8" s="19">
        <f>TRUNC(공종별집계표!H5, 0)</f>
        <v>0</v>
      </c>
      <c r="F8" s="9" t="s">
        <v>51</v>
      </c>
      <c r="G8" s="9" t="s">
        <v>51</v>
      </c>
    </row>
    <row r="9" spans="1:7" ht="21.95" customHeight="1" x14ac:dyDescent="0.3">
      <c r="A9" s="1" t="s">
        <v>2185</v>
      </c>
      <c r="B9" s="32"/>
      <c r="C9" s="32"/>
      <c r="D9" s="18" t="s">
        <v>2186</v>
      </c>
      <c r="E9" s="19">
        <f>TRUNC(E8*0.15, 0)</f>
        <v>0</v>
      </c>
      <c r="F9" s="9" t="s">
        <v>2187</v>
      </c>
      <c r="G9" s="9" t="s">
        <v>51</v>
      </c>
    </row>
    <row r="10" spans="1:7" ht="21.95" customHeight="1" x14ac:dyDescent="0.3">
      <c r="A10" s="1" t="s">
        <v>2188</v>
      </c>
      <c r="B10" s="32"/>
      <c r="C10" s="32"/>
      <c r="D10" s="18" t="s">
        <v>2182</v>
      </c>
      <c r="E10" s="19">
        <f>TRUNC(E8+E9, 0)</f>
        <v>0</v>
      </c>
      <c r="F10" s="9" t="s">
        <v>51</v>
      </c>
      <c r="G10" s="9" t="s">
        <v>51</v>
      </c>
    </row>
    <row r="11" spans="1:7" ht="21.95" customHeight="1" x14ac:dyDescent="0.3">
      <c r="A11" s="1" t="s">
        <v>2189</v>
      </c>
      <c r="B11" s="32"/>
      <c r="C11" s="32" t="s">
        <v>2174</v>
      </c>
      <c r="D11" s="18" t="s">
        <v>2190</v>
      </c>
      <c r="E11" s="19">
        <f>TRUNC(공종별집계표!J5, 0)</f>
        <v>0</v>
      </c>
      <c r="F11" s="9" t="s">
        <v>51</v>
      </c>
      <c r="G11" s="9" t="s">
        <v>51</v>
      </c>
    </row>
    <row r="12" spans="1:7" ht="21.95" customHeight="1" x14ac:dyDescent="0.3">
      <c r="A12" s="1" t="s">
        <v>2191</v>
      </c>
      <c r="B12" s="32"/>
      <c r="C12" s="32"/>
      <c r="D12" s="18" t="s">
        <v>2192</v>
      </c>
      <c r="E12" s="19">
        <f>TRUNC(E10*0.0356, 0)</f>
        <v>0</v>
      </c>
      <c r="F12" s="9" t="s">
        <v>2193</v>
      </c>
      <c r="G12" s="9" t="s">
        <v>51</v>
      </c>
    </row>
    <row r="13" spans="1:7" ht="21.95" customHeight="1" x14ac:dyDescent="0.3">
      <c r="A13" s="1" t="s">
        <v>2194</v>
      </c>
      <c r="B13" s="32"/>
      <c r="C13" s="32"/>
      <c r="D13" s="18" t="s">
        <v>2195</v>
      </c>
      <c r="E13" s="19">
        <f>TRUNC(E10*0.0101, 0)</f>
        <v>0</v>
      </c>
      <c r="F13" s="9" t="s">
        <v>2196</v>
      </c>
      <c r="G13" s="9" t="s">
        <v>51</v>
      </c>
    </row>
    <row r="14" spans="1:7" ht="21.95" customHeight="1" x14ac:dyDescent="0.3">
      <c r="A14" s="1" t="s">
        <v>2197</v>
      </c>
      <c r="B14" s="32"/>
      <c r="C14" s="32"/>
      <c r="D14" s="18" t="s">
        <v>2198</v>
      </c>
      <c r="E14" s="19">
        <f>TRUNC(E8*0.03595, 0)</f>
        <v>0</v>
      </c>
      <c r="F14" s="9" t="s">
        <v>2199</v>
      </c>
      <c r="G14" s="9" t="s">
        <v>51</v>
      </c>
    </row>
    <row r="15" spans="1:7" ht="21.95" customHeight="1" x14ac:dyDescent="0.3">
      <c r="A15" s="1" t="s">
        <v>2200</v>
      </c>
      <c r="B15" s="32"/>
      <c r="C15" s="32"/>
      <c r="D15" s="18" t="s">
        <v>2201</v>
      </c>
      <c r="E15" s="19">
        <f>TRUNC(E8*0.0475, 0)</f>
        <v>0</v>
      </c>
      <c r="F15" s="9" t="s">
        <v>2202</v>
      </c>
      <c r="G15" s="9" t="s">
        <v>51</v>
      </c>
    </row>
    <row r="16" spans="1:7" ht="21.95" customHeight="1" x14ac:dyDescent="0.3">
      <c r="A16" s="1" t="s">
        <v>2203</v>
      </c>
      <c r="B16" s="32"/>
      <c r="C16" s="32"/>
      <c r="D16" s="18" t="s">
        <v>2204</v>
      </c>
      <c r="E16" s="19">
        <f>TRUNC(E8*0.023, 0)</f>
        <v>0</v>
      </c>
      <c r="F16" s="9" t="s">
        <v>2205</v>
      </c>
      <c r="G16" s="9" t="s">
        <v>51</v>
      </c>
    </row>
    <row r="17" spans="1:7" ht="21.95" customHeight="1" x14ac:dyDescent="0.3">
      <c r="A17" s="1" t="s">
        <v>2206</v>
      </c>
      <c r="B17" s="32"/>
      <c r="C17" s="32"/>
      <c r="D17" s="18" t="s">
        <v>2207</v>
      </c>
      <c r="E17" s="19"/>
      <c r="F17" s="9" t="s">
        <v>2208</v>
      </c>
      <c r="G17" s="9" t="s">
        <v>51</v>
      </c>
    </row>
    <row r="18" spans="1:7" ht="21.95" customHeight="1" x14ac:dyDescent="0.3">
      <c r="A18" s="1" t="s">
        <v>2209</v>
      </c>
      <c r="B18" s="32"/>
      <c r="C18" s="32"/>
      <c r="D18" s="18" t="s">
        <v>2210</v>
      </c>
      <c r="E18" s="19">
        <f>TRUNC(E14*0.1314, 0)</f>
        <v>0</v>
      </c>
      <c r="F18" s="9" t="s">
        <v>2211</v>
      </c>
      <c r="G18" s="9" t="s">
        <v>51</v>
      </c>
    </row>
    <row r="19" spans="1:7" ht="21.95" customHeight="1" x14ac:dyDescent="0.3">
      <c r="A19" s="1" t="s">
        <v>2212</v>
      </c>
      <c r="B19" s="32"/>
      <c r="C19" s="32"/>
      <c r="D19" s="18" t="s">
        <v>2213</v>
      </c>
      <c r="E19" s="19">
        <f>TRUNC((E7+E10)*0.046, 0)</f>
        <v>0</v>
      </c>
      <c r="F19" s="9" t="s">
        <v>2214</v>
      </c>
      <c r="G19" s="9" t="s">
        <v>51</v>
      </c>
    </row>
    <row r="20" spans="1:7" ht="21.95" customHeight="1" x14ac:dyDescent="0.3">
      <c r="A20" s="1" t="s">
        <v>2215</v>
      </c>
      <c r="B20" s="32"/>
      <c r="C20" s="32"/>
      <c r="D20" s="18" t="s">
        <v>2182</v>
      </c>
      <c r="E20" s="19">
        <f>TRUNC(E11+E12+E13+E14+E15+E16+E17+E18+E19, 0)</f>
        <v>0</v>
      </c>
      <c r="F20" s="9" t="s">
        <v>51</v>
      </c>
      <c r="G20" s="9" t="s">
        <v>51</v>
      </c>
    </row>
    <row r="21" spans="1:7" ht="21.95" customHeight="1" x14ac:dyDescent="0.3">
      <c r="A21" s="1" t="s">
        <v>2216</v>
      </c>
      <c r="B21" s="26" t="s">
        <v>2217</v>
      </c>
      <c r="C21" s="26"/>
      <c r="D21" s="27"/>
      <c r="E21" s="19">
        <f>TRUNC(E7+E10+E20, 0)</f>
        <v>0</v>
      </c>
      <c r="F21" s="9" t="s">
        <v>51</v>
      </c>
      <c r="G21" s="9" t="s">
        <v>51</v>
      </c>
    </row>
    <row r="22" spans="1:7" ht="21.95" customHeight="1" x14ac:dyDescent="0.3">
      <c r="A22" s="1" t="s">
        <v>2218</v>
      </c>
      <c r="B22" s="26" t="s">
        <v>2219</v>
      </c>
      <c r="C22" s="26"/>
      <c r="D22" s="27"/>
      <c r="E22" s="19">
        <f>TRUNC(E21*0.04, 0)</f>
        <v>0</v>
      </c>
      <c r="F22" s="9" t="s">
        <v>2277</v>
      </c>
      <c r="G22" s="9" t="s">
        <v>51</v>
      </c>
    </row>
    <row r="23" spans="1:7" ht="21.95" customHeight="1" x14ac:dyDescent="0.3">
      <c r="A23" s="1" t="s">
        <v>2220</v>
      </c>
      <c r="B23" s="26" t="s">
        <v>2221</v>
      </c>
      <c r="C23" s="26"/>
      <c r="D23" s="27"/>
      <c r="E23" s="19">
        <f>TRUNC((E10+E20+E22)*0.1, 0)</f>
        <v>0</v>
      </c>
      <c r="F23" s="9" t="s">
        <v>2278</v>
      </c>
      <c r="G23" s="9" t="s">
        <v>51</v>
      </c>
    </row>
    <row r="24" spans="1:7" ht="21.95" customHeight="1" x14ac:dyDescent="0.3">
      <c r="A24" s="1" t="s">
        <v>2222</v>
      </c>
      <c r="B24" s="26" t="s">
        <v>2223</v>
      </c>
      <c r="C24" s="26"/>
      <c r="D24" s="27"/>
      <c r="E24" s="19">
        <f>TRUNC(E21+E22+E23, 0)</f>
        <v>0</v>
      </c>
      <c r="F24" s="9" t="s">
        <v>51</v>
      </c>
      <c r="G24" s="9" t="s">
        <v>51</v>
      </c>
    </row>
    <row r="25" spans="1:7" ht="21.95" customHeight="1" x14ac:dyDescent="0.3">
      <c r="A25" s="1" t="s">
        <v>2224</v>
      </c>
      <c r="B25" s="26" t="s">
        <v>2225</v>
      </c>
      <c r="C25" s="26"/>
      <c r="D25" s="27"/>
      <c r="E25" s="19">
        <f>TRUNC(E24*0.1, 0)</f>
        <v>0</v>
      </c>
      <c r="F25" s="9" t="s">
        <v>2226</v>
      </c>
      <c r="G25" s="9" t="s">
        <v>51</v>
      </c>
    </row>
    <row r="26" spans="1:7" ht="21.95" customHeight="1" x14ac:dyDescent="0.3">
      <c r="A26" s="1" t="s">
        <v>2227</v>
      </c>
      <c r="B26" s="26" t="s">
        <v>2228</v>
      </c>
      <c r="C26" s="26"/>
      <c r="D26" s="27"/>
      <c r="E26" s="19">
        <f>TRUNC(E24+E25, 0)</f>
        <v>0</v>
      </c>
      <c r="F26" s="9" t="s">
        <v>51</v>
      </c>
      <c r="G26" s="23"/>
    </row>
    <row r="27" spans="1:7" ht="21.95" customHeight="1" x14ac:dyDescent="0.3">
      <c r="A27" s="1" t="s">
        <v>2229</v>
      </c>
      <c r="B27" s="26" t="s">
        <v>2230</v>
      </c>
      <c r="C27" s="26"/>
      <c r="D27" s="27"/>
      <c r="E27" s="19">
        <f>TRUNC(공종별집계표!T20, 0)</f>
        <v>0</v>
      </c>
      <c r="F27" s="9" t="s">
        <v>51</v>
      </c>
      <c r="G27" s="23"/>
    </row>
    <row r="28" spans="1:7" ht="21.95" customHeight="1" x14ac:dyDescent="0.3">
      <c r="A28" s="1" t="s">
        <v>2231</v>
      </c>
      <c r="B28" s="26" t="s">
        <v>2232</v>
      </c>
      <c r="C28" s="26"/>
      <c r="D28" s="27"/>
      <c r="E28" s="19">
        <f>TRUNC(공종별집계표!T23, 0)</f>
        <v>0</v>
      </c>
      <c r="F28" s="9" t="s">
        <v>51</v>
      </c>
      <c r="G28" s="23"/>
    </row>
    <row r="29" spans="1:7" ht="21.95" customHeight="1" x14ac:dyDescent="0.3">
      <c r="A29" s="1" t="s">
        <v>2233</v>
      </c>
      <c r="B29" s="26" t="s">
        <v>2234</v>
      </c>
      <c r="C29" s="26"/>
      <c r="D29" s="27"/>
      <c r="E29" s="19">
        <f>TRUNC(E26+E27+E28, 0)</f>
        <v>0</v>
      </c>
      <c r="F29" s="9" t="s">
        <v>51</v>
      </c>
      <c r="G29" s="9" t="s">
        <v>51</v>
      </c>
    </row>
    <row r="30" spans="1:7" ht="21.95" customHeight="1" x14ac:dyDescent="0.3">
      <c r="A30" s="1" t="s">
        <v>2235</v>
      </c>
      <c r="B30" s="26" t="s">
        <v>2295</v>
      </c>
      <c r="C30" s="26"/>
      <c r="D30" s="27"/>
      <c r="E30" s="19">
        <f>TRUNC(공종별집계표!L27, 0)</f>
        <v>0</v>
      </c>
      <c r="F30" s="9" t="s">
        <v>51</v>
      </c>
      <c r="G30" s="9" t="s">
        <v>51</v>
      </c>
    </row>
    <row r="31" spans="1:7" ht="21.95" customHeight="1" x14ac:dyDescent="0.3">
      <c r="A31" s="1" t="s">
        <v>2235</v>
      </c>
      <c r="B31" s="26" t="s">
        <v>2296</v>
      </c>
      <c r="C31" s="26"/>
      <c r="D31" s="27"/>
      <c r="E31" s="19">
        <f>TRUNC(공종별집계표!L28, 0)</f>
        <v>0</v>
      </c>
      <c r="F31" s="9" t="s">
        <v>51</v>
      </c>
      <c r="G31" s="9" t="s">
        <v>51</v>
      </c>
    </row>
    <row r="32" spans="1:7" ht="21.95" customHeight="1" x14ac:dyDescent="0.3">
      <c r="A32" s="1" t="s">
        <v>2237</v>
      </c>
      <c r="B32" s="26" t="s">
        <v>2238</v>
      </c>
      <c r="C32" s="26"/>
      <c r="D32" s="27"/>
      <c r="E32" s="19">
        <f>TRUNC(공종별집계표!T29, 0)</f>
        <v>0</v>
      </c>
      <c r="F32" s="9" t="s">
        <v>51</v>
      </c>
      <c r="G32" s="9" t="s">
        <v>51</v>
      </c>
    </row>
    <row r="33" spans="1:7" ht="21.95" customHeight="1" x14ac:dyDescent="0.3">
      <c r="A33" s="1" t="s">
        <v>2239</v>
      </c>
      <c r="B33" s="26" t="s">
        <v>2240</v>
      </c>
      <c r="C33" s="26"/>
      <c r="D33" s="27"/>
      <c r="E33" s="19">
        <f>TRUNC(E29++E30+E31+E32, -3)</f>
        <v>0</v>
      </c>
      <c r="F33" s="9" t="s">
        <v>51</v>
      </c>
      <c r="G33" s="9" t="s">
        <v>2276</v>
      </c>
    </row>
  </sheetData>
  <mergeCells count="21">
    <mergeCell ref="B1:G1"/>
    <mergeCell ref="B2:E2"/>
    <mergeCell ref="F2:G2"/>
    <mergeCell ref="B3:D3"/>
    <mergeCell ref="B4:B20"/>
    <mergeCell ref="C4:C7"/>
    <mergeCell ref="C8:C10"/>
    <mergeCell ref="C11:C20"/>
    <mergeCell ref="B33:D33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2:D32"/>
    <mergeCell ref="B31:D31"/>
  </mergeCells>
  <phoneticPr fontId="1" type="noConversion"/>
  <pageMargins left="0.78740157480314954" right="0" top="0.39370078740157477" bottom="0.39370078740157477" header="0" footer="0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CDA19-ECF1-4207-B48A-93F96807A41C}">
  <sheetPr>
    <pageSetUpPr fitToPage="1"/>
  </sheetPr>
  <dimension ref="A1:T50"/>
  <sheetViews>
    <sheetView view="pageBreakPreview" zoomScale="85" zoomScaleNormal="100" zoomScaleSheetLayoutView="85" workbookViewId="0">
      <selection activeCell="B15" sqref="B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20" ht="30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20" ht="30" customHeight="1" x14ac:dyDescent="0.3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/>
      <c r="G3" s="34" t="s">
        <v>9</v>
      </c>
      <c r="H3" s="34"/>
      <c r="I3" s="34" t="s">
        <v>10</v>
      </c>
      <c r="J3" s="34"/>
      <c r="K3" s="34" t="s">
        <v>11</v>
      </c>
      <c r="L3" s="34"/>
      <c r="M3" s="34" t="s">
        <v>12</v>
      </c>
      <c r="N3" s="33" t="s">
        <v>13</v>
      </c>
      <c r="O3" s="33" t="s">
        <v>14</v>
      </c>
      <c r="P3" s="33" t="s">
        <v>15</v>
      </c>
      <c r="Q3" s="33" t="s">
        <v>16</v>
      </c>
      <c r="R3" s="33" t="s">
        <v>17</v>
      </c>
      <c r="S3" s="33" t="s">
        <v>18</v>
      </c>
      <c r="T3" s="33" t="s">
        <v>19</v>
      </c>
    </row>
    <row r="4" spans="1:20" ht="30" customHeight="1" x14ac:dyDescent="0.3">
      <c r="A4" s="35"/>
      <c r="B4" s="35"/>
      <c r="C4" s="35"/>
      <c r="D4" s="35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35"/>
      <c r="N4" s="33"/>
      <c r="O4" s="33"/>
      <c r="P4" s="33"/>
      <c r="Q4" s="33"/>
      <c r="R4" s="33"/>
      <c r="S4" s="33"/>
      <c r="T4" s="33"/>
    </row>
    <row r="5" spans="1:20" ht="30" customHeight="1" x14ac:dyDescent="0.3">
      <c r="A5" s="5" t="s">
        <v>2297</v>
      </c>
      <c r="B5" s="5" t="s">
        <v>51</v>
      </c>
      <c r="C5" s="5" t="s">
        <v>51</v>
      </c>
      <c r="D5" s="6">
        <v>1</v>
      </c>
      <c r="E5" s="7">
        <f>F6</f>
        <v>0</v>
      </c>
      <c r="F5" s="7">
        <f t="shared" ref="F5:F29" si="0">E5*D5</f>
        <v>0</v>
      </c>
      <c r="G5" s="7">
        <f>H6</f>
        <v>0</v>
      </c>
      <c r="H5" s="7">
        <f t="shared" ref="H5:H29" si="1">G5*D5</f>
        <v>0</v>
      </c>
      <c r="I5" s="7">
        <f>J6</f>
        <v>0</v>
      </c>
      <c r="J5" s="7">
        <f t="shared" ref="J5:J29" si="2">I5*D5</f>
        <v>0</v>
      </c>
      <c r="K5" s="7">
        <f t="shared" ref="K5:K29" si="3">E5+G5+I5</f>
        <v>0</v>
      </c>
      <c r="L5" s="7">
        <f t="shared" ref="L5:L29" si="4">F5+H5+J5</f>
        <v>0</v>
      </c>
      <c r="M5" s="5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3"/>
    </row>
    <row r="6" spans="1:20" ht="30" hidden="1" customHeight="1" x14ac:dyDescent="0.3">
      <c r="A6" s="5" t="s">
        <v>53</v>
      </c>
      <c r="B6" s="5" t="s">
        <v>51</v>
      </c>
      <c r="C6" s="5" t="s">
        <v>51</v>
      </c>
      <c r="D6" s="6">
        <v>1</v>
      </c>
      <c r="E6" s="7">
        <f>F7+F8+F9+F13+F17+F18+F19</f>
        <v>0</v>
      </c>
      <c r="F6" s="7">
        <f t="shared" si="0"/>
        <v>0</v>
      </c>
      <c r="G6" s="7">
        <f>H7+H8+H9+H13+H17+H18+H19</f>
        <v>0</v>
      </c>
      <c r="H6" s="7">
        <f t="shared" si="1"/>
        <v>0</v>
      </c>
      <c r="I6" s="7">
        <f>J7+J8+J9+J13+J17+J18+J19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3"/>
    </row>
    <row r="7" spans="1:20" ht="30" customHeight="1" x14ac:dyDescent="0.3">
      <c r="A7" s="5" t="s">
        <v>2298</v>
      </c>
      <c r="B7" s="5" t="s">
        <v>51</v>
      </c>
      <c r="C7" s="5" t="s">
        <v>51</v>
      </c>
      <c r="D7" s="6">
        <v>1</v>
      </c>
      <c r="E7" s="7">
        <f>공종별내역서!F51</f>
        <v>0</v>
      </c>
      <c r="F7" s="7">
        <f t="shared" si="0"/>
        <v>0</v>
      </c>
      <c r="G7" s="7">
        <f>공종별내역서!H51</f>
        <v>0</v>
      </c>
      <c r="H7" s="7">
        <f t="shared" si="1"/>
        <v>0</v>
      </c>
      <c r="I7" s="7">
        <f>공종별내역서!J51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51</v>
      </c>
      <c r="N7" s="1" t="s">
        <v>55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3"/>
    </row>
    <row r="8" spans="1:20" ht="30" customHeight="1" x14ac:dyDescent="0.3">
      <c r="A8" s="5" t="s">
        <v>2299</v>
      </c>
      <c r="B8" s="5" t="s">
        <v>51</v>
      </c>
      <c r="C8" s="5" t="s">
        <v>51</v>
      </c>
      <c r="D8" s="6">
        <v>1</v>
      </c>
      <c r="E8" s="7">
        <f>공종별내역서!F75</f>
        <v>0</v>
      </c>
      <c r="F8" s="7">
        <f t="shared" si="0"/>
        <v>0</v>
      </c>
      <c r="G8" s="7">
        <f>공종별내역서!H75</f>
        <v>0</v>
      </c>
      <c r="H8" s="7">
        <f t="shared" si="1"/>
        <v>0</v>
      </c>
      <c r="I8" s="7">
        <f>공종별내역서!J75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51</v>
      </c>
      <c r="N8" s="1" t="s">
        <v>209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3"/>
    </row>
    <row r="9" spans="1:20" ht="30" customHeight="1" x14ac:dyDescent="0.3">
      <c r="A9" s="5" t="s">
        <v>2300</v>
      </c>
      <c r="B9" s="5" t="s">
        <v>51</v>
      </c>
      <c r="C9" s="5" t="s">
        <v>51</v>
      </c>
      <c r="D9" s="6">
        <v>1</v>
      </c>
      <c r="E9" s="7">
        <f>F10+F11+F12</f>
        <v>0</v>
      </c>
      <c r="F9" s="7">
        <f t="shared" si="0"/>
        <v>0</v>
      </c>
      <c r="G9" s="7">
        <f>H10+H11+H12</f>
        <v>0</v>
      </c>
      <c r="H9" s="7">
        <f t="shared" si="1"/>
        <v>0</v>
      </c>
      <c r="I9" s="7">
        <f>J10+J11+J12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51</v>
      </c>
      <c r="N9" s="1" t="s">
        <v>278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3"/>
    </row>
    <row r="10" spans="1:20" ht="30" customHeight="1" x14ac:dyDescent="0.3">
      <c r="A10" s="5" t="s">
        <v>2301</v>
      </c>
      <c r="B10" s="5" t="s">
        <v>51</v>
      </c>
      <c r="C10" s="5" t="s">
        <v>51</v>
      </c>
      <c r="D10" s="6">
        <v>1</v>
      </c>
      <c r="E10" s="7">
        <f>공종별내역서!F99</f>
        <v>0</v>
      </c>
      <c r="F10" s="7">
        <f t="shared" si="0"/>
        <v>0</v>
      </c>
      <c r="G10" s="7">
        <f>공종별내역서!H99</f>
        <v>0</v>
      </c>
      <c r="H10" s="7">
        <f t="shared" si="1"/>
        <v>0</v>
      </c>
      <c r="I10" s="7">
        <f>공종별내역서!J99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51</v>
      </c>
      <c r="N10" s="1" t="s">
        <v>279</v>
      </c>
      <c r="O10" s="1" t="s">
        <v>51</v>
      </c>
      <c r="P10" s="1" t="s">
        <v>278</v>
      </c>
      <c r="Q10" s="1" t="s">
        <v>51</v>
      </c>
      <c r="R10">
        <v>4</v>
      </c>
      <c r="S10" s="1" t="s">
        <v>51</v>
      </c>
      <c r="T10" s="3"/>
    </row>
    <row r="11" spans="1:20" ht="30" customHeight="1" x14ac:dyDescent="0.3">
      <c r="A11" s="5" t="s">
        <v>2302</v>
      </c>
      <c r="B11" s="5" t="s">
        <v>51</v>
      </c>
      <c r="C11" s="5" t="s">
        <v>51</v>
      </c>
      <c r="D11" s="6">
        <v>1</v>
      </c>
      <c r="E11" s="7">
        <f>공종별내역서!F123</f>
        <v>0</v>
      </c>
      <c r="F11" s="7">
        <f t="shared" si="0"/>
        <v>0</v>
      </c>
      <c r="G11" s="7">
        <f>공종별내역서!H123</f>
        <v>0</v>
      </c>
      <c r="H11" s="7">
        <f t="shared" si="1"/>
        <v>0</v>
      </c>
      <c r="I11" s="7">
        <f>공종별내역서!J123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51</v>
      </c>
      <c r="N11" s="1" t="s">
        <v>321</v>
      </c>
      <c r="O11" s="1" t="s">
        <v>51</v>
      </c>
      <c r="P11" s="1" t="s">
        <v>278</v>
      </c>
      <c r="Q11" s="1" t="s">
        <v>51</v>
      </c>
      <c r="R11">
        <v>4</v>
      </c>
      <c r="S11" s="1" t="s">
        <v>51</v>
      </c>
      <c r="T11" s="3"/>
    </row>
    <row r="12" spans="1:20" ht="30" customHeight="1" x14ac:dyDescent="0.3">
      <c r="A12" s="5" t="s">
        <v>2303</v>
      </c>
      <c r="B12" s="5" t="s">
        <v>51</v>
      </c>
      <c r="C12" s="5" t="s">
        <v>51</v>
      </c>
      <c r="D12" s="6">
        <v>1</v>
      </c>
      <c r="E12" s="7">
        <f>공종별내역서!F147</f>
        <v>0</v>
      </c>
      <c r="F12" s="7">
        <f t="shared" si="0"/>
        <v>0</v>
      </c>
      <c r="G12" s="7">
        <f>공종별내역서!H147</f>
        <v>0</v>
      </c>
      <c r="H12" s="7">
        <f t="shared" si="1"/>
        <v>0</v>
      </c>
      <c r="I12" s="7">
        <f>공종별내역서!J147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51</v>
      </c>
      <c r="N12" s="1" t="s">
        <v>333</v>
      </c>
      <c r="O12" s="1" t="s">
        <v>51</v>
      </c>
      <c r="P12" s="1" t="s">
        <v>278</v>
      </c>
      <c r="Q12" s="1" t="s">
        <v>51</v>
      </c>
      <c r="R12">
        <v>4</v>
      </c>
      <c r="S12" s="1" t="s">
        <v>51</v>
      </c>
      <c r="T12" s="3"/>
    </row>
    <row r="13" spans="1:20" ht="30" customHeight="1" x14ac:dyDescent="0.3">
      <c r="A13" s="5" t="s">
        <v>2304</v>
      </c>
      <c r="B13" s="5" t="s">
        <v>51</v>
      </c>
      <c r="C13" s="5" t="s">
        <v>51</v>
      </c>
      <c r="D13" s="6">
        <v>1</v>
      </c>
      <c r="E13" s="7">
        <f>F14+F15+F16</f>
        <v>0</v>
      </c>
      <c r="F13" s="7">
        <f t="shared" si="0"/>
        <v>0</v>
      </c>
      <c r="G13" s="7">
        <f>H14+H15+H16</f>
        <v>0</v>
      </c>
      <c r="H13" s="7">
        <f t="shared" si="1"/>
        <v>0</v>
      </c>
      <c r="I13" s="7">
        <f>J14+J15+J16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51</v>
      </c>
      <c r="N13" s="1" t="s">
        <v>348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3"/>
    </row>
    <row r="14" spans="1:20" ht="30" customHeight="1" x14ac:dyDescent="0.3">
      <c r="A14" s="5" t="s">
        <v>2305</v>
      </c>
      <c r="B14" s="5" t="s">
        <v>51</v>
      </c>
      <c r="C14" s="5" t="s">
        <v>51</v>
      </c>
      <c r="D14" s="6">
        <v>1</v>
      </c>
      <c r="E14" s="7">
        <f>공종별내역서!F171</f>
        <v>0</v>
      </c>
      <c r="F14" s="7">
        <f t="shared" si="0"/>
        <v>0</v>
      </c>
      <c r="G14" s="7">
        <f>공종별내역서!H171</f>
        <v>0</v>
      </c>
      <c r="H14" s="7">
        <f t="shared" si="1"/>
        <v>0</v>
      </c>
      <c r="I14" s="7">
        <f>공종별내역서!J171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51</v>
      </c>
      <c r="N14" s="1" t="s">
        <v>349</v>
      </c>
      <c r="O14" s="1" t="s">
        <v>51</v>
      </c>
      <c r="P14" s="1" t="s">
        <v>348</v>
      </c>
      <c r="Q14" s="1" t="s">
        <v>51</v>
      </c>
      <c r="R14">
        <v>4</v>
      </c>
      <c r="S14" s="1" t="s">
        <v>51</v>
      </c>
      <c r="T14" s="3"/>
    </row>
    <row r="15" spans="1:20" ht="30" customHeight="1" x14ac:dyDescent="0.3">
      <c r="A15" s="5" t="s">
        <v>2306</v>
      </c>
      <c r="B15" s="5" t="s">
        <v>51</v>
      </c>
      <c r="C15" s="5" t="s">
        <v>51</v>
      </c>
      <c r="D15" s="6">
        <v>1</v>
      </c>
      <c r="E15" s="7">
        <f>공종별내역서!F195</f>
        <v>0</v>
      </c>
      <c r="F15" s="7">
        <f t="shared" si="0"/>
        <v>0</v>
      </c>
      <c r="G15" s="7">
        <f>공종별내역서!H195</f>
        <v>0</v>
      </c>
      <c r="H15" s="7">
        <f t="shared" si="1"/>
        <v>0</v>
      </c>
      <c r="I15" s="7">
        <f>공종별내역서!J195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51</v>
      </c>
      <c r="N15" s="1" t="s">
        <v>432</v>
      </c>
      <c r="O15" s="1" t="s">
        <v>51</v>
      </c>
      <c r="P15" s="1" t="s">
        <v>348</v>
      </c>
      <c r="Q15" s="1" t="s">
        <v>51</v>
      </c>
      <c r="R15">
        <v>4</v>
      </c>
      <c r="S15" s="1" t="s">
        <v>51</v>
      </c>
      <c r="T15" s="3"/>
    </row>
    <row r="16" spans="1:20" ht="30" customHeight="1" x14ac:dyDescent="0.3">
      <c r="A16" s="5" t="s">
        <v>2307</v>
      </c>
      <c r="B16" s="5" t="s">
        <v>51</v>
      </c>
      <c r="C16" s="5" t="s">
        <v>51</v>
      </c>
      <c r="D16" s="6">
        <v>1</v>
      </c>
      <c r="E16" s="7">
        <f>공종별내역서!F243</f>
        <v>0</v>
      </c>
      <c r="F16" s="7">
        <f t="shared" si="0"/>
        <v>0</v>
      </c>
      <c r="G16" s="7">
        <f>공종별내역서!H243</f>
        <v>0</v>
      </c>
      <c r="H16" s="7">
        <f t="shared" si="1"/>
        <v>0</v>
      </c>
      <c r="I16" s="7">
        <f>공종별내역서!J243</f>
        <v>0</v>
      </c>
      <c r="J16" s="7">
        <f t="shared" si="2"/>
        <v>0</v>
      </c>
      <c r="K16" s="7">
        <f t="shared" si="3"/>
        <v>0</v>
      </c>
      <c r="L16" s="7">
        <f t="shared" si="4"/>
        <v>0</v>
      </c>
      <c r="M16" s="5" t="s">
        <v>51</v>
      </c>
      <c r="N16" s="1" t="s">
        <v>450</v>
      </c>
      <c r="O16" s="1" t="s">
        <v>51</v>
      </c>
      <c r="P16" s="1" t="s">
        <v>348</v>
      </c>
      <c r="Q16" s="1" t="s">
        <v>51</v>
      </c>
      <c r="R16">
        <v>4</v>
      </c>
      <c r="S16" s="1" t="s">
        <v>51</v>
      </c>
      <c r="T16" s="3"/>
    </row>
    <row r="17" spans="1:20" ht="30" customHeight="1" x14ac:dyDescent="0.3">
      <c r="A17" s="5" t="s">
        <v>2308</v>
      </c>
      <c r="B17" s="5" t="s">
        <v>51</v>
      </c>
      <c r="C17" s="5" t="s">
        <v>51</v>
      </c>
      <c r="D17" s="6">
        <v>1</v>
      </c>
      <c r="E17" s="7">
        <f>공종별내역서!F267</f>
        <v>0</v>
      </c>
      <c r="F17" s="7">
        <f t="shared" si="0"/>
        <v>0</v>
      </c>
      <c r="G17" s="7">
        <f>공종별내역서!H267</f>
        <v>0</v>
      </c>
      <c r="H17" s="7">
        <f t="shared" si="1"/>
        <v>0</v>
      </c>
      <c r="I17" s="7">
        <f>공종별내역서!J267</f>
        <v>0</v>
      </c>
      <c r="J17" s="7">
        <f t="shared" si="2"/>
        <v>0</v>
      </c>
      <c r="K17" s="7">
        <f t="shared" si="3"/>
        <v>0</v>
      </c>
      <c r="L17" s="7">
        <f t="shared" si="4"/>
        <v>0</v>
      </c>
      <c r="M17" s="5" t="s">
        <v>51</v>
      </c>
      <c r="N17" s="1" t="s">
        <v>508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3"/>
    </row>
    <row r="18" spans="1:20" ht="30" customHeight="1" x14ac:dyDescent="0.3">
      <c r="A18" s="5" t="s">
        <v>2309</v>
      </c>
      <c r="B18" s="5" t="s">
        <v>51</v>
      </c>
      <c r="C18" s="5" t="s">
        <v>51</v>
      </c>
      <c r="D18" s="6">
        <v>1</v>
      </c>
      <c r="E18" s="7">
        <f>공종별내역서!F291</f>
        <v>0</v>
      </c>
      <c r="F18" s="7">
        <f t="shared" si="0"/>
        <v>0</v>
      </c>
      <c r="G18" s="7">
        <f>공종별내역서!H291</f>
        <v>0</v>
      </c>
      <c r="H18" s="7">
        <f t="shared" si="1"/>
        <v>0</v>
      </c>
      <c r="I18" s="7">
        <f>공종별내역서!J291</f>
        <v>0</v>
      </c>
      <c r="J18" s="7">
        <f t="shared" si="2"/>
        <v>0</v>
      </c>
      <c r="K18" s="7">
        <f t="shared" si="3"/>
        <v>0</v>
      </c>
      <c r="L18" s="7">
        <f t="shared" si="4"/>
        <v>0</v>
      </c>
      <c r="M18" s="5" t="s">
        <v>51</v>
      </c>
      <c r="N18" s="1" t="s">
        <v>543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3"/>
    </row>
    <row r="19" spans="1:20" ht="30" customHeight="1" x14ac:dyDescent="0.3">
      <c r="A19" s="5" t="s">
        <v>2310</v>
      </c>
      <c r="B19" s="5" t="s">
        <v>51</v>
      </c>
      <c r="C19" s="5" t="s">
        <v>51</v>
      </c>
      <c r="D19" s="6">
        <v>1</v>
      </c>
      <c r="E19" s="7">
        <f>공종별내역서!F315</f>
        <v>0</v>
      </c>
      <c r="F19" s="7">
        <f t="shared" si="0"/>
        <v>0</v>
      </c>
      <c r="G19" s="7">
        <f>공종별내역서!H315</f>
        <v>0</v>
      </c>
      <c r="H19" s="7">
        <f t="shared" si="1"/>
        <v>0</v>
      </c>
      <c r="I19" s="7">
        <f>공종별내역서!J315</f>
        <v>0</v>
      </c>
      <c r="J19" s="7">
        <f t="shared" si="2"/>
        <v>0</v>
      </c>
      <c r="K19" s="7">
        <f t="shared" si="3"/>
        <v>0</v>
      </c>
      <c r="L19" s="7">
        <f t="shared" si="4"/>
        <v>0</v>
      </c>
      <c r="M19" s="5" t="s">
        <v>51</v>
      </c>
      <c r="N19" s="1" t="s">
        <v>586</v>
      </c>
      <c r="O19" s="1" t="s">
        <v>51</v>
      </c>
      <c r="P19" s="1" t="s">
        <v>54</v>
      </c>
      <c r="Q19" s="1" t="s">
        <v>51</v>
      </c>
      <c r="R19">
        <v>3</v>
      </c>
      <c r="S19" s="1" t="s">
        <v>51</v>
      </c>
      <c r="T19" s="3"/>
    </row>
    <row r="20" spans="1:20" ht="30" customHeight="1" x14ac:dyDescent="0.3">
      <c r="A20" s="5" t="s">
        <v>2311</v>
      </c>
      <c r="B20" s="5" t="s">
        <v>51</v>
      </c>
      <c r="C20" s="5" t="s">
        <v>51</v>
      </c>
      <c r="D20" s="6">
        <v>1</v>
      </c>
      <c r="E20" s="7">
        <f>F21+F22</f>
        <v>0</v>
      </c>
      <c r="F20" s="7">
        <f t="shared" si="0"/>
        <v>0</v>
      </c>
      <c r="G20" s="7">
        <f>H21+H22</f>
        <v>0</v>
      </c>
      <c r="H20" s="7">
        <f t="shared" si="1"/>
        <v>0</v>
      </c>
      <c r="I20" s="7">
        <f>J21+J22</f>
        <v>0</v>
      </c>
      <c r="J20" s="7">
        <f t="shared" si="2"/>
        <v>0</v>
      </c>
      <c r="K20" s="7">
        <f t="shared" si="3"/>
        <v>0</v>
      </c>
      <c r="L20" s="7">
        <f t="shared" si="4"/>
        <v>0</v>
      </c>
      <c r="M20" s="5" t="s">
        <v>51</v>
      </c>
      <c r="N20" s="1" t="s">
        <v>624</v>
      </c>
      <c r="O20" s="1" t="s">
        <v>51</v>
      </c>
      <c r="P20" s="1" t="s">
        <v>51</v>
      </c>
      <c r="Q20" s="1" t="s">
        <v>625</v>
      </c>
      <c r="R20">
        <v>2</v>
      </c>
      <c r="S20" s="1" t="s">
        <v>51</v>
      </c>
      <c r="T20" s="3">
        <f>L20*1</f>
        <v>0</v>
      </c>
    </row>
    <row r="21" spans="1:20" ht="30" customHeight="1" x14ac:dyDescent="0.3">
      <c r="A21" s="5" t="s">
        <v>2312</v>
      </c>
      <c r="B21" s="5" t="s">
        <v>51</v>
      </c>
      <c r="C21" s="5" t="s">
        <v>51</v>
      </c>
      <c r="D21" s="6">
        <v>1</v>
      </c>
      <c r="E21" s="7">
        <f>공종별내역서!F339</f>
        <v>0</v>
      </c>
      <c r="F21" s="7">
        <f t="shared" si="0"/>
        <v>0</v>
      </c>
      <c r="G21" s="7">
        <f>공종별내역서!H339</f>
        <v>0</v>
      </c>
      <c r="H21" s="7">
        <f t="shared" si="1"/>
        <v>0</v>
      </c>
      <c r="I21" s="7">
        <f>공종별내역서!J339</f>
        <v>0</v>
      </c>
      <c r="J21" s="7">
        <f t="shared" si="2"/>
        <v>0</v>
      </c>
      <c r="K21" s="7">
        <f t="shared" si="3"/>
        <v>0</v>
      </c>
      <c r="L21" s="7">
        <f t="shared" si="4"/>
        <v>0</v>
      </c>
      <c r="M21" s="5" t="s">
        <v>51</v>
      </c>
      <c r="N21" s="1" t="s">
        <v>626</v>
      </c>
      <c r="O21" s="1" t="s">
        <v>51</v>
      </c>
      <c r="P21" s="1" t="s">
        <v>624</v>
      </c>
      <c r="Q21" s="1" t="s">
        <v>51</v>
      </c>
      <c r="R21">
        <v>3</v>
      </c>
      <c r="S21" s="1" t="s">
        <v>51</v>
      </c>
      <c r="T21" s="3"/>
    </row>
    <row r="22" spans="1:20" ht="30" customHeight="1" x14ac:dyDescent="0.3">
      <c r="A22" s="5" t="s">
        <v>2313</v>
      </c>
      <c r="B22" s="5" t="s">
        <v>51</v>
      </c>
      <c r="C22" s="5" t="s">
        <v>51</v>
      </c>
      <c r="D22" s="6">
        <v>1</v>
      </c>
      <c r="E22" s="7">
        <f>공종별내역서!F363</f>
        <v>0</v>
      </c>
      <c r="F22" s="7">
        <f t="shared" ref="F22" si="5">E22*D22</f>
        <v>0</v>
      </c>
      <c r="G22" s="7">
        <f>공종별내역서!H363</f>
        <v>0</v>
      </c>
      <c r="H22" s="7">
        <f t="shared" ref="H22" si="6">G22*D22</f>
        <v>0</v>
      </c>
      <c r="I22" s="7">
        <f>공종별내역서!J363</f>
        <v>0</v>
      </c>
      <c r="J22" s="7">
        <f t="shared" ref="J22" si="7">I22*D22</f>
        <v>0</v>
      </c>
      <c r="K22" s="7">
        <f t="shared" ref="K22" si="8">E22+G22+I22</f>
        <v>0</v>
      </c>
      <c r="L22" s="7">
        <f t="shared" ref="L22" si="9">F22+H22+J22</f>
        <v>0</v>
      </c>
      <c r="M22" s="5" t="s">
        <v>51</v>
      </c>
      <c r="N22" s="1" t="s">
        <v>626</v>
      </c>
      <c r="O22" s="1" t="s">
        <v>51</v>
      </c>
      <c r="P22" s="1" t="s">
        <v>624</v>
      </c>
      <c r="Q22" s="1" t="s">
        <v>51</v>
      </c>
      <c r="R22">
        <v>3</v>
      </c>
      <c r="S22" s="1" t="s">
        <v>51</v>
      </c>
      <c r="T22" s="3"/>
    </row>
    <row r="23" spans="1:20" ht="30" customHeight="1" x14ac:dyDescent="0.3">
      <c r="A23" s="5" t="s">
        <v>2314</v>
      </c>
      <c r="B23" s="5" t="s">
        <v>51</v>
      </c>
      <c r="C23" s="5" t="s">
        <v>51</v>
      </c>
      <c r="D23" s="6">
        <v>1</v>
      </c>
      <c r="E23" s="7">
        <f>F24+F25</f>
        <v>0</v>
      </c>
      <c r="F23" s="7">
        <f t="shared" si="0"/>
        <v>0</v>
      </c>
      <c r="G23" s="7">
        <f>H24+H25</f>
        <v>0</v>
      </c>
      <c r="H23" s="7">
        <f t="shared" si="1"/>
        <v>0</v>
      </c>
      <c r="I23" s="7">
        <f>J24+J25</f>
        <v>0</v>
      </c>
      <c r="J23" s="7">
        <f t="shared" si="2"/>
        <v>0</v>
      </c>
      <c r="K23" s="7">
        <f t="shared" si="3"/>
        <v>0</v>
      </c>
      <c r="L23" s="7">
        <f t="shared" si="4"/>
        <v>0</v>
      </c>
      <c r="M23" s="5" t="s">
        <v>51</v>
      </c>
      <c r="N23" s="1" t="s">
        <v>659</v>
      </c>
      <c r="O23" s="1" t="s">
        <v>51</v>
      </c>
      <c r="P23" s="1" t="s">
        <v>51</v>
      </c>
      <c r="Q23" s="1" t="s">
        <v>660</v>
      </c>
      <c r="R23">
        <v>2</v>
      </c>
      <c r="S23" s="1" t="s">
        <v>51</v>
      </c>
      <c r="T23" s="3">
        <f>L23*1</f>
        <v>0</v>
      </c>
    </row>
    <row r="24" spans="1:20" ht="30" customHeight="1" x14ac:dyDescent="0.3">
      <c r="A24" s="5" t="s">
        <v>2315</v>
      </c>
      <c r="B24" s="5" t="s">
        <v>51</v>
      </c>
      <c r="C24" s="5" t="s">
        <v>51</v>
      </c>
      <c r="D24" s="6">
        <v>1</v>
      </c>
      <c r="E24" s="7">
        <f>공종별내역서!F387</f>
        <v>0</v>
      </c>
      <c r="F24" s="7">
        <f t="shared" si="0"/>
        <v>0</v>
      </c>
      <c r="G24" s="7">
        <f>공종별내역서!H387</f>
        <v>0</v>
      </c>
      <c r="H24" s="7">
        <f t="shared" si="1"/>
        <v>0</v>
      </c>
      <c r="I24" s="7">
        <f>공종별내역서!J387</f>
        <v>0</v>
      </c>
      <c r="J24" s="7">
        <f t="shared" si="2"/>
        <v>0</v>
      </c>
      <c r="K24" s="7">
        <f t="shared" si="3"/>
        <v>0</v>
      </c>
      <c r="L24" s="7">
        <f t="shared" si="4"/>
        <v>0</v>
      </c>
      <c r="M24" s="5" t="s">
        <v>51</v>
      </c>
      <c r="N24" s="1" t="s">
        <v>661</v>
      </c>
      <c r="O24" s="1" t="s">
        <v>51</v>
      </c>
      <c r="P24" s="1" t="s">
        <v>659</v>
      </c>
      <c r="Q24" s="1" t="s">
        <v>51</v>
      </c>
      <c r="R24">
        <v>3</v>
      </c>
      <c r="S24" s="1" t="s">
        <v>51</v>
      </c>
      <c r="T24" s="3"/>
    </row>
    <row r="25" spans="1:20" ht="30" customHeight="1" x14ac:dyDescent="0.3">
      <c r="A25" s="5" t="s">
        <v>2316</v>
      </c>
      <c r="B25" s="5" t="s">
        <v>51</v>
      </c>
      <c r="C25" s="5" t="s">
        <v>51</v>
      </c>
      <c r="D25" s="6">
        <v>1</v>
      </c>
      <c r="E25" s="7">
        <f>공종별내역서!F411</f>
        <v>0</v>
      </c>
      <c r="F25" s="7">
        <f t="shared" si="0"/>
        <v>0</v>
      </c>
      <c r="G25" s="7">
        <f>공종별내역서!H411</f>
        <v>0</v>
      </c>
      <c r="H25" s="7">
        <f t="shared" si="1"/>
        <v>0</v>
      </c>
      <c r="I25" s="7">
        <f>공종별내역서!J411</f>
        <v>0</v>
      </c>
      <c r="J25" s="7">
        <f t="shared" si="2"/>
        <v>0</v>
      </c>
      <c r="K25" s="7">
        <f t="shared" si="3"/>
        <v>0</v>
      </c>
      <c r="L25" s="7">
        <f t="shared" si="4"/>
        <v>0</v>
      </c>
      <c r="M25" s="5" t="s">
        <v>51</v>
      </c>
      <c r="N25" s="1" t="s">
        <v>676</v>
      </c>
      <c r="O25" s="1" t="s">
        <v>51</v>
      </c>
      <c r="P25" s="1" t="s">
        <v>659</v>
      </c>
      <c r="Q25" s="1" t="s">
        <v>51</v>
      </c>
      <c r="R25">
        <v>3</v>
      </c>
      <c r="S25" s="1" t="s">
        <v>51</v>
      </c>
      <c r="T25" s="3"/>
    </row>
    <row r="26" spans="1:20" ht="30" customHeight="1" x14ac:dyDescent="0.3">
      <c r="A26" s="5" t="s">
        <v>2317</v>
      </c>
      <c r="B26" s="5" t="s">
        <v>51</v>
      </c>
      <c r="C26" s="5" t="s">
        <v>51</v>
      </c>
      <c r="D26" s="6">
        <v>1</v>
      </c>
      <c r="E26" s="7">
        <f>F27+F28</f>
        <v>0</v>
      </c>
      <c r="F26" s="7">
        <f t="shared" si="0"/>
        <v>0</v>
      </c>
      <c r="G26" s="7">
        <f>H27+H28</f>
        <v>0</v>
      </c>
      <c r="H26" s="7">
        <f t="shared" si="1"/>
        <v>0</v>
      </c>
      <c r="I26" s="7">
        <f>J27+J28</f>
        <v>0</v>
      </c>
      <c r="J26" s="7">
        <f t="shared" si="2"/>
        <v>0</v>
      </c>
      <c r="K26" s="7">
        <f t="shared" si="3"/>
        <v>0</v>
      </c>
      <c r="L26" s="7">
        <f t="shared" si="4"/>
        <v>0</v>
      </c>
      <c r="M26" s="5" t="s">
        <v>51</v>
      </c>
      <c r="N26" s="1" t="s">
        <v>703</v>
      </c>
      <c r="O26" s="1" t="s">
        <v>51</v>
      </c>
      <c r="P26" s="1" t="s">
        <v>51</v>
      </c>
      <c r="Q26" s="1" t="s">
        <v>704</v>
      </c>
      <c r="R26">
        <v>2</v>
      </c>
      <c r="S26" s="1" t="s">
        <v>51</v>
      </c>
      <c r="T26" s="3">
        <f>L26*1</f>
        <v>0</v>
      </c>
    </row>
    <row r="27" spans="1:20" ht="30" customHeight="1" x14ac:dyDescent="0.3">
      <c r="A27" s="5" t="s">
        <v>2318</v>
      </c>
      <c r="B27" s="5" t="s">
        <v>51</v>
      </c>
      <c r="C27" s="5" t="s">
        <v>51</v>
      </c>
      <c r="D27" s="6">
        <v>1</v>
      </c>
      <c r="E27" s="7">
        <f>공종별내역서!F435</f>
        <v>0</v>
      </c>
      <c r="F27" s="7">
        <f t="shared" si="0"/>
        <v>0</v>
      </c>
      <c r="G27" s="7">
        <f>공종별내역서!H435</f>
        <v>0</v>
      </c>
      <c r="H27" s="7">
        <f t="shared" si="1"/>
        <v>0</v>
      </c>
      <c r="I27" s="7">
        <f>공종별내역서!J435</f>
        <v>0</v>
      </c>
      <c r="J27" s="7">
        <f t="shared" si="2"/>
        <v>0</v>
      </c>
      <c r="K27" s="7">
        <f t="shared" si="3"/>
        <v>0</v>
      </c>
      <c r="L27" s="7">
        <f t="shared" si="4"/>
        <v>0</v>
      </c>
      <c r="M27" s="5" t="s">
        <v>51</v>
      </c>
      <c r="N27" s="1" t="s">
        <v>705</v>
      </c>
      <c r="O27" s="1" t="s">
        <v>51</v>
      </c>
      <c r="P27" s="1" t="s">
        <v>703</v>
      </c>
      <c r="Q27" s="1" t="s">
        <v>51</v>
      </c>
      <c r="R27">
        <v>3</v>
      </c>
      <c r="S27" s="1" t="s">
        <v>51</v>
      </c>
      <c r="T27" s="3"/>
    </row>
    <row r="28" spans="1:20" ht="30" customHeight="1" x14ac:dyDescent="0.3">
      <c r="A28" s="5" t="s">
        <v>2319</v>
      </c>
      <c r="B28" s="5" t="s">
        <v>51</v>
      </c>
      <c r="C28" s="5" t="s">
        <v>51</v>
      </c>
      <c r="D28" s="6">
        <v>1</v>
      </c>
      <c r="E28" s="7">
        <f>공종별내역서!F459</f>
        <v>0</v>
      </c>
      <c r="F28" s="7">
        <f t="shared" si="0"/>
        <v>0</v>
      </c>
      <c r="G28" s="7">
        <f>공종별내역서!H459</f>
        <v>0</v>
      </c>
      <c r="H28" s="7">
        <f t="shared" si="1"/>
        <v>0</v>
      </c>
      <c r="I28" s="7">
        <f>공종별내역서!J459</f>
        <v>0</v>
      </c>
      <c r="J28" s="7">
        <f t="shared" si="2"/>
        <v>0</v>
      </c>
      <c r="K28" s="7">
        <f t="shared" si="3"/>
        <v>0</v>
      </c>
      <c r="L28" s="7">
        <f t="shared" si="4"/>
        <v>0</v>
      </c>
      <c r="M28" s="5" t="s">
        <v>51</v>
      </c>
      <c r="N28" s="1" t="s">
        <v>710</v>
      </c>
      <c r="O28" s="1" t="s">
        <v>51</v>
      </c>
      <c r="P28" s="1" t="s">
        <v>703</v>
      </c>
      <c r="Q28" s="1" t="s">
        <v>51</v>
      </c>
      <c r="R28">
        <v>3</v>
      </c>
      <c r="S28" s="1" t="s">
        <v>51</v>
      </c>
      <c r="T28" s="3"/>
    </row>
    <row r="29" spans="1:20" ht="30" customHeight="1" x14ac:dyDescent="0.3">
      <c r="A29" s="5" t="s">
        <v>2320</v>
      </c>
      <c r="B29" s="5" t="s">
        <v>51</v>
      </c>
      <c r="C29" s="5" t="s">
        <v>51</v>
      </c>
      <c r="D29" s="6">
        <v>1</v>
      </c>
      <c r="E29" s="7">
        <f>공종별내역서!F483</f>
        <v>0</v>
      </c>
      <c r="F29" s="7">
        <f t="shared" si="0"/>
        <v>0</v>
      </c>
      <c r="G29" s="7">
        <f>공종별내역서!H483</f>
        <v>0</v>
      </c>
      <c r="H29" s="7">
        <f t="shared" si="1"/>
        <v>0</v>
      </c>
      <c r="I29" s="7">
        <f>공종별내역서!J483</f>
        <v>0</v>
      </c>
      <c r="J29" s="7">
        <f t="shared" si="2"/>
        <v>0</v>
      </c>
      <c r="K29" s="7">
        <f t="shared" si="3"/>
        <v>0</v>
      </c>
      <c r="L29" s="7">
        <f t="shared" si="4"/>
        <v>0</v>
      </c>
      <c r="M29" s="5" t="s">
        <v>51</v>
      </c>
      <c r="N29" s="1" t="s">
        <v>713</v>
      </c>
      <c r="O29" s="1" t="s">
        <v>51</v>
      </c>
      <c r="P29" s="1" t="s">
        <v>51</v>
      </c>
      <c r="Q29" s="1" t="s">
        <v>714</v>
      </c>
      <c r="R29">
        <v>2</v>
      </c>
      <c r="S29" s="1" t="s">
        <v>51</v>
      </c>
      <c r="T29" s="3">
        <f>L29*1</f>
        <v>0</v>
      </c>
    </row>
    <row r="30" spans="1:20" ht="30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T30" s="3"/>
    </row>
    <row r="31" spans="1:20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T31" s="3"/>
    </row>
    <row r="32" spans="1:20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T32" s="3"/>
    </row>
    <row r="33" spans="1:20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T33" s="3"/>
    </row>
    <row r="34" spans="1:20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T34" s="3"/>
    </row>
    <row r="35" spans="1:20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T35" s="3"/>
    </row>
    <row r="36" spans="1:20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T36" s="3"/>
    </row>
    <row r="37" spans="1:20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T37" s="3"/>
    </row>
    <row r="38" spans="1:20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T38" s="3"/>
    </row>
    <row r="39" spans="1:20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T39" s="3"/>
    </row>
    <row r="40" spans="1:20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T40" s="3"/>
    </row>
    <row r="41" spans="1:20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T41" s="3"/>
    </row>
    <row r="42" spans="1:20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T42" s="3"/>
    </row>
    <row r="43" spans="1:20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T43" s="3"/>
    </row>
    <row r="44" spans="1:20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T44" s="3"/>
    </row>
    <row r="45" spans="1:20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T45" s="3"/>
    </row>
    <row r="46" spans="1:20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T46" s="3"/>
    </row>
    <row r="47" spans="1:20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T47" s="3"/>
    </row>
    <row r="48" spans="1:20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T48" s="3"/>
    </row>
    <row r="49" spans="1:20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T49" s="3"/>
    </row>
    <row r="50" spans="1:20" ht="30" customHeight="1" x14ac:dyDescent="0.3">
      <c r="A50" s="5" t="s">
        <v>207</v>
      </c>
      <c r="B50" s="6"/>
      <c r="C50" s="6"/>
      <c r="D50" s="6"/>
      <c r="E50" s="6"/>
      <c r="F50" s="7">
        <f>F5</f>
        <v>0</v>
      </c>
      <c r="G50" s="6"/>
      <c r="H50" s="7">
        <f>H5</f>
        <v>0</v>
      </c>
      <c r="I50" s="6"/>
      <c r="J50" s="7">
        <f>J5</f>
        <v>0</v>
      </c>
      <c r="K50" s="6"/>
      <c r="L50" s="7">
        <f>L5</f>
        <v>0</v>
      </c>
      <c r="M50" s="6"/>
      <c r="T50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BD0C-2E30-49D3-8305-6446FA9F876D}">
  <sheetPr>
    <pageSetUpPr fitToPage="1"/>
  </sheetPr>
  <dimension ref="A1:AV483"/>
  <sheetViews>
    <sheetView view="pageBreakPreview" zoomScale="85" zoomScaleNormal="100" zoomScaleSheetLayoutView="85" workbookViewId="0">
      <selection activeCell="E12" sqref="E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3" t="s">
        <v>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48" ht="30" customHeight="1" x14ac:dyDescent="0.3">
      <c r="A2" s="34" t="s">
        <v>2</v>
      </c>
      <c r="B2" s="34" t="s">
        <v>3</v>
      </c>
      <c r="C2" s="34" t="s">
        <v>4</v>
      </c>
      <c r="D2" s="34" t="s">
        <v>5</v>
      </c>
      <c r="E2" s="34" t="s">
        <v>6</v>
      </c>
      <c r="F2" s="34"/>
      <c r="G2" s="34" t="s">
        <v>9</v>
      </c>
      <c r="H2" s="34"/>
      <c r="I2" s="34" t="s">
        <v>10</v>
      </c>
      <c r="J2" s="34"/>
      <c r="K2" s="34" t="s">
        <v>11</v>
      </c>
      <c r="L2" s="34"/>
      <c r="M2" s="34" t="s">
        <v>12</v>
      </c>
      <c r="N2" s="33" t="s">
        <v>20</v>
      </c>
      <c r="O2" s="33" t="s">
        <v>14</v>
      </c>
      <c r="P2" s="33" t="s">
        <v>21</v>
      </c>
      <c r="Q2" s="33" t="s">
        <v>13</v>
      </c>
      <c r="R2" s="33" t="s">
        <v>22</v>
      </c>
      <c r="S2" s="33" t="s">
        <v>23</v>
      </c>
      <c r="T2" s="33" t="s">
        <v>24</v>
      </c>
      <c r="U2" s="33" t="s">
        <v>25</v>
      </c>
      <c r="V2" s="33" t="s">
        <v>26</v>
      </c>
      <c r="W2" s="33" t="s">
        <v>27</v>
      </c>
      <c r="X2" s="33" t="s">
        <v>28</v>
      </c>
      <c r="Y2" s="33" t="s">
        <v>29</v>
      </c>
      <c r="Z2" s="33" t="s">
        <v>30</v>
      </c>
      <c r="AA2" s="33" t="s">
        <v>31</v>
      </c>
      <c r="AB2" s="33" t="s">
        <v>32</v>
      </c>
      <c r="AC2" s="33" t="s">
        <v>33</v>
      </c>
      <c r="AD2" s="33" t="s">
        <v>34</v>
      </c>
      <c r="AE2" s="33" t="s">
        <v>35</v>
      </c>
      <c r="AF2" s="33" t="s">
        <v>36</v>
      </c>
      <c r="AG2" s="33" t="s">
        <v>37</v>
      </c>
      <c r="AH2" s="33" t="s">
        <v>38</v>
      </c>
      <c r="AI2" s="33" t="s">
        <v>39</v>
      </c>
      <c r="AJ2" s="33" t="s">
        <v>40</v>
      </c>
      <c r="AK2" s="33" t="s">
        <v>41</v>
      </c>
      <c r="AL2" s="33" t="s">
        <v>42</v>
      </c>
      <c r="AM2" s="33" t="s">
        <v>43</v>
      </c>
      <c r="AN2" s="33" t="s">
        <v>44</v>
      </c>
      <c r="AO2" s="33" t="s">
        <v>45</v>
      </c>
      <c r="AP2" s="33" t="s">
        <v>46</v>
      </c>
      <c r="AQ2" s="33" t="s">
        <v>47</v>
      </c>
      <c r="AR2" s="33" t="s">
        <v>48</v>
      </c>
      <c r="AS2" s="33" t="s">
        <v>16</v>
      </c>
      <c r="AT2" s="33" t="s">
        <v>17</v>
      </c>
      <c r="AU2" s="33" t="s">
        <v>49</v>
      </c>
      <c r="AV2" s="33" t="s">
        <v>50</v>
      </c>
    </row>
    <row r="3" spans="1:48" ht="30" customHeight="1" x14ac:dyDescent="0.3">
      <c r="A3" s="34"/>
      <c r="B3" s="34"/>
      <c r="C3" s="34"/>
      <c r="D3" s="34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34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</row>
    <row r="4" spans="1:48" ht="30" customHeight="1" x14ac:dyDescent="0.3">
      <c r="A4" s="5" t="s">
        <v>2298</v>
      </c>
      <c r="B4" s="5" t="s">
        <v>51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55</v>
      </c>
    </row>
    <row r="5" spans="1:48" ht="30" customHeight="1" x14ac:dyDescent="0.3">
      <c r="A5" s="5" t="s">
        <v>56</v>
      </c>
      <c r="B5" s="5" t="s">
        <v>57</v>
      </c>
      <c r="C5" s="5" t="s">
        <v>58</v>
      </c>
      <c r="D5" s="6"/>
      <c r="E5" s="8"/>
      <c r="F5" s="8"/>
      <c r="G5" s="8"/>
      <c r="H5" s="8"/>
      <c r="I5" s="8"/>
      <c r="J5" s="8"/>
      <c r="K5" s="8"/>
      <c r="L5" s="8"/>
      <c r="M5" s="5" t="s">
        <v>51</v>
      </c>
      <c r="N5" s="1" t="s">
        <v>59</v>
      </c>
      <c r="O5" s="1" t="s">
        <v>51</v>
      </c>
      <c r="P5" s="1" t="s">
        <v>51</v>
      </c>
      <c r="Q5" s="1" t="s">
        <v>55</v>
      </c>
      <c r="R5" s="1" t="s">
        <v>60</v>
      </c>
      <c r="S5" s="1" t="s">
        <v>60</v>
      </c>
      <c r="T5" s="1" t="s">
        <v>61</v>
      </c>
      <c r="AR5" s="1" t="s">
        <v>51</v>
      </c>
      <c r="AS5" s="1" t="s">
        <v>51</v>
      </c>
      <c r="AU5" s="1" t="s">
        <v>62</v>
      </c>
      <c r="AV5">
        <v>4</v>
      </c>
    </row>
    <row r="6" spans="1:48" ht="30" customHeight="1" x14ac:dyDescent="0.3">
      <c r="A6" s="5" t="s">
        <v>63</v>
      </c>
      <c r="B6" s="5" t="s">
        <v>64</v>
      </c>
      <c r="C6" s="5" t="s">
        <v>65</v>
      </c>
      <c r="D6" s="6"/>
      <c r="E6" s="8"/>
      <c r="F6" s="8"/>
      <c r="G6" s="8"/>
      <c r="H6" s="8"/>
      <c r="I6" s="8"/>
      <c r="J6" s="8"/>
      <c r="K6" s="8"/>
      <c r="L6" s="8"/>
      <c r="M6" s="5" t="s">
        <v>66</v>
      </c>
      <c r="N6" s="1" t="s">
        <v>67</v>
      </c>
      <c r="O6" s="1" t="s">
        <v>51</v>
      </c>
      <c r="P6" s="1" t="s">
        <v>51</v>
      </c>
      <c r="Q6" s="1" t="s">
        <v>55</v>
      </c>
      <c r="R6" s="1" t="s">
        <v>61</v>
      </c>
      <c r="S6" s="1" t="s">
        <v>60</v>
      </c>
      <c r="T6" s="1" t="s">
        <v>60</v>
      </c>
      <c r="AR6" s="1" t="s">
        <v>51</v>
      </c>
      <c r="AS6" s="1" t="s">
        <v>51</v>
      </c>
      <c r="AU6" s="1" t="s">
        <v>68</v>
      </c>
      <c r="AV6">
        <v>13</v>
      </c>
    </row>
    <row r="7" spans="1:48" ht="30" customHeight="1" x14ac:dyDescent="0.3">
      <c r="A7" s="5" t="s">
        <v>69</v>
      </c>
      <c r="B7" s="5" t="s">
        <v>70</v>
      </c>
      <c r="C7" s="5" t="s">
        <v>65</v>
      </c>
      <c r="D7" s="6"/>
      <c r="E7" s="8"/>
      <c r="F7" s="8"/>
      <c r="G7" s="8"/>
      <c r="H7" s="8"/>
      <c r="I7" s="8"/>
      <c r="J7" s="8"/>
      <c r="K7" s="8"/>
      <c r="L7" s="8"/>
      <c r="M7" s="5" t="s">
        <v>71</v>
      </c>
      <c r="N7" s="1" t="s">
        <v>72</v>
      </c>
      <c r="O7" s="1" t="s">
        <v>51</v>
      </c>
      <c r="P7" s="1" t="s">
        <v>51</v>
      </c>
      <c r="Q7" s="1" t="s">
        <v>55</v>
      </c>
      <c r="R7" s="1" t="s">
        <v>61</v>
      </c>
      <c r="S7" s="1" t="s">
        <v>60</v>
      </c>
      <c r="T7" s="1" t="s">
        <v>60</v>
      </c>
      <c r="AR7" s="1" t="s">
        <v>51</v>
      </c>
      <c r="AS7" s="1" t="s">
        <v>51</v>
      </c>
      <c r="AU7" s="1" t="s">
        <v>73</v>
      </c>
      <c r="AV7">
        <v>243</v>
      </c>
    </row>
    <row r="8" spans="1:48" ht="30" customHeight="1" x14ac:dyDescent="0.3">
      <c r="A8" s="5" t="s">
        <v>74</v>
      </c>
      <c r="B8" s="5" t="s">
        <v>75</v>
      </c>
      <c r="C8" s="5" t="s">
        <v>58</v>
      </c>
      <c r="D8" s="6"/>
      <c r="E8" s="8"/>
      <c r="F8" s="8"/>
      <c r="G8" s="8"/>
      <c r="H8" s="8"/>
      <c r="I8" s="8"/>
      <c r="J8" s="8"/>
      <c r="K8" s="8"/>
      <c r="L8" s="8"/>
      <c r="M8" s="5" t="s">
        <v>51</v>
      </c>
      <c r="N8" s="1" t="s">
        <v>76</v>
      </c>
      <c r="O8" s="1" t="s">
        <v>51</v>
      </c>
      <c r="P8" s="1" t="s">
        <v>51</v>
      </c>
      <c r="Q8" s="1" t="s">
        <v>55</v>
      </c>
      <c r="R8" s="1" t="s">
        <v>60</v>
      </c>
      <c r="S8" s="1" t="s">
        <v>60</v>
      </c>
      <c r="T8" s="1" t="s">
        <v>61</v>
      </c>
      <c r="AR8" s="1" t="s">
        <v>51</v>
      </c>
      <c r="AS8" s="1" t="s">
        <v>51</v>
      </c>
      <c r="AU8" s="1" t="s">
        <v>77</v>
      </c>
      <c r="AV8">
        <v>5</v>
      </c>
    </row>
    <row r="9" spans="1:48" ht="30" customHeight="1" x14ac:dyDescent="0.3">
      <c r="A9" s="5" t="s">
        <v>78</v>
      </c>
      <c r="B9" s="5" t="s">
        <v>79</v>
      </c>
      <c r="C9" s="5" t="s">
        <v>58</v>
      </c>
      <c r="D9" s="6"/>
      <c r="E9" s="8"/>
      <c r="F9" s="8"/>
      <c r="G9" s="8"/>
      <c r="H9" s="8"/>
      <c r="I9" s="8"/>
      <c r="J9" s="8"/>
      <c r="K9" s="8"/>
      <c r="L9" s="8"/>
      <c r="M9" s="5" t="s">
        <v>51</v>
      </c>
      <c r="N9" s="1" t="s">
        <v>80</v>
      </c>
      <c r="O9" s="1" t="s">
        <v>51</v>
      </c>
      <c r="P9" s="1" t="s">
        <v>51</v>
      </c>
      <c r="Q9" s="1" t="s">
        <v>55</v>
      </c>
      <c r="R9" s="1" t="s">
        <v>60</v>
      </c>
      <c r="S9" s="1" t="s">
        <v>60</v>
      </c>
      <c r="T9" s="1" t="s">
        <v>61</v>
      </c>
      <c r="AR9" s="1" t="s">
        <v>51</v>
      </c>
      <c r="AS9" s="1" t="s">
        <v>51</v>
      </c>
      <c r="AU9" s="1" t="s">
        <v>81</v>
      </c>
      <c r="AV9">
        <v>6</v>
      </c>
    </row>
    <row r="10" spans="1:48" ht="30" customHeight="1" x14ac:dyDescent="0.3">
      <c r="A10" s="5" t="s">
        <v>82</v>
      </c>
      <c r="B10" s="5" t="s">
        <v>83</v>
      </c>
      <c r="C10" s="5" t="s">
        <v>58</v>
      </c>
      <c r="D10" s="6"/>
      <c r="E10" s="8"/>
      <c r="F10" s="8"/>
      <c r="G10" s="8"/>
      <c r="H10" s="8"/>
      <c r="I10" s="8"/>
      <c r="J10" s="8"/>
      <c r="K10" s="8"/>
      <c r="L10" s="8"/>
      <c r="M10" s="5" t="s">
        <v>51</v>
      </c>
      <c r="N10" s="1" t="s">
        <v>84</v>
      </c>
      <c r="O10" s="1" t="s">
        <v>51</v>
      </c>
      <c r="P10" s="1" t="s">
        <v>51</v>
      </c>
      <c r="Q10" s="1" t="s">
        <v>55</v>
      </c>
      <c r="R10" s="1" t="s">
        <v>60</v>
      </c>
      <c r="S10" s="1" t="s">
        <v>60</v>
      </c>
      <c r="T10" s="1" t="s">
        <v>61</v>
      </c>
      <c r="AR10" s="1" t="s">
        <v>51</v>
      </c>
      <c r="AS10" s="1" t="s">
        <v>51</v>
      </c>
      <c r="AU10" s="1" t="s">
        <v>85</v>
      </c>
      <c r="AV10">
        <v>7</v>
      </c>
    </row>
    <row r="11" spans="1:48" ht="30" customHeight="1" x14ac:dyDescent="0.3">
      <c r="A11" s="5" t="s">
        <v>86</v>
      </c>
      <c r="B11" s="5" t="s">
        <v>87</v>
      </c>
      <c r="C11" s="5" t="s">
        <v>88</v>
      </c>
      <c r="D11" s="6"/>
      <c r="E11" s="8"/>
      <c r="F11" s="8"/>
      <c r="G11" s="8"/>
      <c r="H11" s="8"/>
      <c r="I11" s="8"/>
      <c r="J11" s="8"/>
      <c r="K11" s="8"/>
      <c r="L11" s="8"/>
      <c r="M11" s="5" t="s">
        <v>89</v>
      </c>
      <c r="N11" s="1" t="s">
        <v>90</v>
      </c>
      <c r="O11" s="1" t="s">
        <v>51</v>
      </c>
      <c r="P11" s="1" t="s">
        <v>51</v>
      </c>
      <c r="Q11" s="1" t="s">
        <v>55</v>
      </c>
      <c r="R11" s="1" t="s">
        <v>61</v>
      </c>
      <c r="S11" s="1" t="s">
        <v>60</v>
      </c>
      <c r="T11" s="1" t="s">
        <v>60</v>
      </c>
      <c r="AR11" s="1" t="s">
        <v>51</v>
      </c>
      <c r="AS11" s="1" t="s">
        <v>51</v>
      </c>
      <c r="AU11" s="1" t="s">
        <v>91</v>
      </c>
      <c r="AV11">
        <v>11</v>
      </c>
    </row>
    <row r="12" spans="1:48" ht="30" customHeight="1" x14ac:dyDescent="0.3">
      <c r="A12" s="5" t="s">
        <v>63</v>
      </c>
      <c r="B12" s="5" t="s">
        <v>92</v>
      </c>
      <c r="C12" s="5" t="s">
        <v>65</v>
      </c>
      <c r="D12" s="6"/>
      <c r="E12" s="8"/>
      <c r="F12" s="8"/>
      <c r="G12" s="8"/>
      <c r="H12" s="8"/>
      <c r="I12" s="8"/>
      <c r="J12" s="8"/>
      <c r="K12" s="8"/>
      <c r="L12" s="8"/>
      <c r="M12" s="5" t="s">
        <v>93</v>
      </c>
      <c r="N12" s="1" t="s">
        <v>94</v>
      </c>
      <c r="O12" s="1" t="s">
        <v>51</v>
      </c>
      <c r="P12" s="1" t="s">
        <v>51</v>
      </c>
      <c r="Q12" s="1" t="s">
        <v>55</v>
      </c>
      <c r="R12" s="1" t="s">
        <v>61</v>
      </c>
      <c r="S12" s="1" t="s">
        <v>60</v>
      </c>
      <c r="T12" s="1" t="s">
        <v>60</v>
      </c>
      <c r="AR12" s="1" t="s">
        <v>51</v>
      </c>
      <c r="AS12" s="1" t="s">
        <v>51</v>
      </c>
      <c r="AU12" s="1" t="s">
        <v>95</v>
      </c>
      <c r="AV12">
        <v>249</v>
      </c>
    </row>
    <row r="13" spans="1:48" ht="30" customHeight="1" x14ac:dyDescent="0.3">
      <c r="A13" s="5" t="s">
        <v>96</v>
      </c>
      <c r="B13" s="5" t="s">
        <v>97</v>
      </c>
      <c r="C13" s="5" t="s">
        <v>58</v>
      </c>
      <c r="D13" s="6"/>
      <c r="E13" s="8"/>
      <c r="F13" s="8"/>
      <c r="G13" s="8"/>
      <c r="H13" s="8"/>
      <c r="I13" s="8"/>
      <c r="J13" s="8"/>
      <c r="K13" s="8"/>
      <c r="L13" s="8"/>
      <c r="M13" s="5" t="s">
        <v>98</v>
      </c>
      <c r="N13" s="1" t="s">
        <v>99</v>
      </c>
      <c r="O13" s="1" t="s">
        <v>51</v>
      </c>
      <c r="P13" s="1" t="s">
        <v>51</v>
      </c>
      <c r="Q13" s="1" t="s">
        <v>55</v>
      </c>
      <c r="R13" s="1" t="s">
        <v>61</v>
      </c>
      <c r="S13" s="1" t="s">
        <v>60</v>
      </c>
      <c r="T13" s="1" t="s">
        <v>60</v>
      </c>
      <c r="AR13" s="1" t="s">
        <v>51</v>
      </c>
      <c r="AS13" s="1" t="s">
        <v>51</v>
      </c>
      <c r="AU13" s="1" t="s">
        <v>100</v>
      </c>
      <c r="AV13">
        <v>15</v>
      </c>
    </row>
    <row r="14" spans="1:48" ht="30" customHeight="1" x14ac:dyDescent="0.3">
      <c r="A14" s="5" t="s">
        <v>101</v>
      </c>
      <c r="B14" s="5" t="s">
        <v>102</v>
      </c>
      <c r="C14" s="5" t="s">
        <v>88</v>
      </c>
      <c r="D14" s="6"/>
      <c r="E14" s="8"/>
      <c r="F14" s="8"/>
      <c r="G14" s="8"/>
      <c r="H14" s="8"/>
      <c r="I14" s="8"/>
      <c r="J14" s="8"/>
      <c r="K14" s="8"/>
      <c r="L14" s="8"/>
      <c r="M14" s="5" t="s">
        <v>103</v>
      </c>
      <c r="N14" s="1" t="s">
        <v>104</v>
      </c>
      <c r="O14" s="1" t="s">
        <v>51</v>
      </c>
      <c r="P14" s="1" t="s">
        <v>51</v>
      </c>
      <c r="Q14" s="1" t="s">
        <v>55</v>
      </c>
      <c r="R14" s="1" t="s">
        <v>61</v>
      </c>
      <c r="S14" s="1" t="s">
        <v>60</v>
      </c>
      <c r="T14" s="1" t="s">
        <v>60</v>
      </c>
      <c r="AR14" s="1" t="s">
        <v>51</v>
      </c>
      <c r="AS14" s="1" t="s">
        <v>51</v>
      </c>
      <c r="AU14" s="1" t="s">
        <v>105</v>
      </c>
      <c r="AV14">
        <v>250</v>
      </c>
    </row>
    <row r="15" spans="1:48" ht="30" customHeight="1" x14ac:dyDescent="0.3">
      <c r="A15" s="5" t="s">
        <v>106</v>
      </c>
      <c r="B15" s="5" t="s">
        <v>107</v>
      </c>
      <c r="C15" s="5" t="s">
        <v>65</v>
      </c>
      <c r="D15" s="6"/>
      <c r="E15" s="8"/>
      <c r="F15" s="8"/>
      <c r="G15" s="8"/>
      <c r="H15" s="8"/>
      <c r="I15" s="8"/>
      <c r="J15" s="8"/>
      <c r="K15" s="8"/>
      <c r="L15" s="8"/>
      <c r="M15" s="5" t="s">
        <v>108</v>
      </c>
      <c r="N15" s="1" t="s">
        <v>109</v>
      </c>
      <c r="O15" s="1" t="s">
        <v>51</v>
      </c>
      <c r="P15" s="1" t="s">
        <v>51</v>
      </c>
      <c r="Q15" s="1" t="s">
        <v>55</v>
      </c>
      <c r="R15" s="1" t="s">
        <v>61</v>
      </c>
      <c r="S15" s="1" t="s">
        <v>60</v>
      </c>
      <c r="T15" s="1" t="s">
        <v>60</v>
      </c>
      <c r="AR15" s="1" t="s">
        <v>51</v>
      </c>
      <c r="AS15" s="1" t="s">
        <v>51</v>
      </c>
      <c r="AU15" s="1" t="s">
        <v>110</v>
      </c>
      <c r="AV15">
        <v>17</v>
      </c>
    </row>
    <row r="16" spans="1:48" ht="30" customHeight="1" x14ac:dyDescent="0.3">
      <c r="A16" s="5" t="s">
        <v>111</v>
      </c>
      <c r="B16" s="5" t="s">
        <v>112</v>
      </c>
      <c r="C16" s="5" t="s">
        <v>113</v>
      </c>
      <c r="D16" s="6"/>
      <c r="E16" s="8"/>
      <c r="F16" s="8"/>
      <c r="G16" s="8"/>
      <c r="H16" s="8"/>
      <c r="I16" s="8"/>
      <c r="J16" s="8"/>
      <c r="K16" s="8"/>
      <c r="L16" s="8"/>
      <c r="M16" s="5" t="s">
        <v>114</v>
      </c>
      <c r="N16" s="1" t="s">
        <v>115</v>
      </c>
      <c r="O16" s="1" t="s">
        <v>51</v>
      </c>
      <c r="P16" s="1" t="s">
        <v>51</v>
      </c>
      <c r="Q16" s="1" t="s">
        <v>55</v>
      </c>
      <c r="R16" s="1" t="s">
        <v>61</v>
      </c>
      <c r="S16" s="1" t="s">
        <v>60</v>
      </c>
      <c r="T16" s="1" t="s">
        <v>60</v>
      </c>
      <c r="AR16" s="1" t="s">
        <v>51</v>
      </c>
      <c r="AS16" s="1" t="s">
        <v>51</v>
      </c>
      <c r="AU16" s="1" t="s">
        <v>116</v>
      </c>
      <c r="AV16">
        <v>18</v>
      </c>
    </row>
    <row r="17" spans="1:48" ht="30" customHeight="1" x14ac:dyDescent="0.3">
      <c r="A17" s="5" t="s">
        <v>117</v>
      </c>
      <c r="B17" s="5" t="s">
        <v>118</v>
      </c>
      <c r="C17" s="5" t="s">
        <v>88</v>
      </c>
      <c r="D17" s="6"/>
      <c r="E17" s="8"/>
      <c r="F17" s="8"/>
      <c r="G17" s="8"/>
      <c r="H17" s="8"/>
      <c r="I17" s="8"/>
      <c r="J17" s="8"/>
      <c r="K17" s="8"/>
      <c r="L17" s="8"/>
      <c r="M17" s="5" t="s">
        <v>119</v>
      </c>
      <c r="N17" s="1" t="s">
        <v>120</v>
      </c>
      <c r="O17" s="1" t="s">
        <v>51</v>
      </c>
      <c r="P17" s="1" t="s">
        <v>51</v>
      </c>
      <c r="Q17" s="1" t="s">
        <v>55</v>
      </c>
      <c r="R17" s="1" t="s">
        <v>61</v>
      </c>
      <c r="S17" s="1" t="s">
        <v>60</v>
      </c>
      <c r="T17" s="1" t="s">
        <v>60</v>
      </c>
      <c r="AR17" s="1" t="s">
        <v>51</v>
      </c>
      <c r="AS17" s="1" t="s">
        <v>51</v>
      </c>
      <c r="AU17" s="1" t="s">
        <v>121</v>
      </c>
      <c r="AV17">
        <v>19</v>
      </c>
    </row>
    <row r="18" spans="1:48" ht="30" customHeight="1" x14ac:dyDescent="0.3">
      <c r="A18" s="5" t="s">
        <v>122</v>
      </c>
      <c r="B18" s="5" t="s">
        <v>123</v>
      </c>
      <c r="C18" s="5" t="s">
        <v>124</v>
      </c>
      <c r="D18" s="6"/>
      <c r="E18" s="8"/>
      <c r="F18" s="8"/>
      <c r="G18" s="8"/>
      <c r="H18" s="8"/>
      <c r="I18" s="8"/>
      <c r="J18" s="8"/>
      <c r="K18" s="8"/>
      <c r="L18" s="8"/>
      <c r="M18" s="5" t="s">
        <v>125</v>
      </c>
      <c r="N18" s="1" t="s">
        <v>126</v>
      </c>
      <c r="O18" s="1" t="s">
        <v>51</v>
      </c>
      <c r="P18" s="1" t="s">
        <v>51</v>
      </c>
      <c r="Q18" s="1" t="s">
        <v>55</v>
      </c>
      <c r="R18" s="1" t="s">
        <v>60</v>
      </c>
      <c r="S18" s="1" t="s">
        <v>61</v>
      </c>
      <c r="T18" s="1" t="s">
        <v>60</v>
      </c>
      <c r="AR18" s="1" t="s">
        <v>51</v>
      </c>
      <c r="AS18" s="1" t="s">
        <v>51</v>
      </c>
      <c r="AU18" s="1" t="s">
        <v>127</v>
      </c>
      <c r="AV18">
        <v>20</v>
      </c>
    </row>
    <row r="19" spans="1:48" ht="30" customHeight="1" x14ac:dyDescent="0.3">
      <c r="A19" s="5" t="s">
        <v>128</v>
      </c>
      <c r="B19" s="5" t="s">
        <v>129</v>
      </c>
      <c r="C19" s="5" t="s">
        <v>124</v>
      </c>
      <c r="D19" s="6"/>
      <c r="E19" s="8"/>
      <c r="F19" s="8"/>
      <c r="G19" s="8"/>
      <c r="H19" s="8"/>
      <c r="I19" s="8"/>
      <c r="J19" s="8"/>
      <c r="K19" s="8"/>
      <c r="L19" s="8"/>
      <c r="M19" s="5" t="s">
        <v>130</v>
      </c>
      <c r="N19" s="1" t="s">
        <v>131</v>
      </c>
      <c r="O19" s="1" t="s">
        <v>51</v>
      </c>
      <c r="P19" s="1" t="s">
        <v>51</v>
      </c>
      <c r="Q19" s="1" t="s">
        <v>55</v>
      </c>
      <c r="R19" s="1" t="s">
        <v>60</v>
      </c>
      <c r="S19" s="1" t="s">
        <v>61</v>
      </c>
      <c r="T19" s="1" t="s">
        <v>60</v>
      </c>
      <c r="AR19" s="1" t="s">
        <v>51</v>
      </c>
      <c r="AS19" s="1" t="s">
        <v>51</v>
      </c>
      <c r="AU19" s="1" t="s">
        <v>132</v>
      </c>
      <c r="AV19">
        <v>21</v>
      </c>
    </row>
    <row r="20" spans="1:48" ht="30" customHeight="1" x14ac:dyDescent="0.3">
      <c r="A20" s="5" t="s">
        <v>133</v>
      </c>
      <c r="B20" s="5" t="s">
        <v>134</v>
      </c>
      <c r="C20" s="5" t="s">
        <v>124</v>
      </c>
      <c r="D20" s="6"/>
      <c r="E20" s="8"/>
      <c r="F20" s="8"/>
      <c r="G20" s="8"/>
      <c r="H20" s="8"/>
      <c r="I20" s="8"/>
      <c r="J20" s="8"/>
      <c r="K20" s="8"/>
      <c r="L20" s="8"/>
      <c r="M20" s="5" t="s">
        <v>135</v>
      </c>
      <c r="N20" s="1" t="s">
        <v>136</v>
      </c>
      <c r="O20" s="1" t="s">
        <v>51</v>
      </c>
      <c r="P20" s="1" t="s">
        <v>51</v>
      </c>
      <c r="Q20" s="1" t="s">
        <v>55</v>
      </c>
      <c r="R20" s="1" t="s">
        <v>60</v>
      </c>
      <c r="S20" s="1" t="s">
        <v>61</v>
      </c>
      <c r="T20" s="1" t="s">
        <v>60</v>
      </c>
      <c r="AR20" s="1" t="s">
        <v>51</v>
      </c>
      <c r="AS20" s="1" t="s">
        <v>51</v>
      </c>
      <c r="AU20" s="1" t="s">
        <v>137</v>
      </c>
      <c r="AV20">
        <v>22</v>
      </c>
    </row>
    <row r="21" spans="1:48" ht="30" customHeight="1" x14ac:dyDescent="0.3">
      <c r="A21" s="5" t="s">
        <v>138</v>
      </c>
      <c r="B21" s="5" t="s">
        <v>139</v>
      </c>
      <c r="C21" s="5" t="s">
        <v>124</v>
      </c>
      <c r="D21" s="6"/>
      <c r="E21" s="8"/>
      <c r="F21" s="8"/>
      <c r="G21" s="8"/>
      <c r="H21" s="8"/>
      <c r="I21" s="8"/>
      <c r="J21" s="8"/>
      <c r="K21" s="8"/>
      <c r="L21" s="8"/>
      <c r="M21" s="5" t="s">
        <v>140</v>
      </c>
      <c r="N21" s="1" t="s">
        <v>141</v>
      </c>
      <c r="O21" s="1" t="s">
        <v>51</v>
      </c>
      <c r="P21" s="1" t="s">
        <v>51</v>
      </c>
      <c r="Q21" s="1" t="s">
        <v>55</v>
      </c>
      <c r="R21" s="1" t="s">
        <v>61</v>
      </c>
      <c r="S21" s="1" t="s">
        <v>60</v>
      </c>
      <c r="T21" s="1" t="s">
        <v>60</v>
      </c>
      <c r="AR21" s="1" t="s">
        <v>51</v>
      </c>
      <c r="AS21" s="1" t="s">
        <v>51</v>
      </c>
      <c r="AU21" s="1" t="s">
        <v>142</v>
      </c>
      <c r="AV21">
        <v>23</v>
      </c>
    </row>
    <row r="22" spans="1:48" ht="30" customHeight="1" x14ac:dyDescent="0.3">
      <c r="A22" s="5" t="s">
        <v>101</v>
      </c>
      <c r="B22" s="5" t="s">
        <v>143</v>
      </c>
      <c r="C22" s="5" t="s">
        <v>88</v>
      </c>
      <c r="D22" s="6"/>
      <c r="E22" s="8"/>
      <c r="F22" s="8"/>
      <c r="G22" s="8"/>
      <c r="H22" s="8"/>
      <c r="I22" s="8"/>
      <c r="J22" s="8"/>
      <c r="K22" s="8"/>
      <c r="L22" s="8"/>
      <c r="M22" s="5" t="s">
        <v>144</v>
      </c>
      <c r="N22" s="1" t="s">
        <v>145</v>
      </c>
      <c r="O22" s="1" t="s">
        <v>51</v>
      </c>
      <c r="P22" s="1" t="s">
        <v>51</v>
      </c>
      <c r="Q22" s="1" t="s">
        <v>55</v>
      </c>
      <c r="R22" s="1" t="s">
        <v>61</v>
      </c>
      <c r="S22" s="1" t="s">
        <v>60</v>
      </c>
      <c r="T22" s="1" t="s">
        <v>60</v>
      </c>
      <c r="AR22" s="1" t="s">
        <v>51</v>
      </c>
      <c r="AS22" s="1" t="s">
        <v>51</v>
      </c>
      <c r="AU22" s="1" t="s">
        <v>146</v>
      </c>
      <c r="AV22">
        <v>24</v>
      </c>
    </row>
    <row r="23" spans="1:48" ht="30" customHeight="1" x14ac:dyDescent="0.3">
      <c r="A23" s="5" t="s">
        <v>147</v>
      </c>
      <c r="B23" s="5" t="s">
        <v>148</v>
      </c>
      <c r="C23" s="5" t="s">
        <v>65</v>
      </c>
      <c r="D23" s="6"/>
      <c r="E23" s="8"/>
      <c r="F23" s="8"/>
      <c r="G23" s="8"/>
      <c r="H23" s="8"/>
      <c r="I23" s="8"/>
      <c r="J23" s="8"/>
      <c r="K23" s="8"/>
      <c r="L23" s="8"/>
      <c r="M23" s="5" t="s">
        <v>149</v>
      </c>
      <c r="N23" s="1" t="s">
        <v>150</v>
      </c>
      <c r="O23" s="1" t="s">
        <v>51</v>
      </c>
      <c r="P23" s="1" t="s">
        <v>51</v>
      </c>
      <c r="Q23" s="1" t="s">
        <v>55</v>
      </c>
      <c r="R23" s="1" t="s">
        <v>61</v>
      </c>
      <c r="S23" s="1" t="s">
        <v>60</v>
      </c>
      <c r="T23" s="1" t="s">
        <v>60</v>
      </c>
      <c r="AR23" s="1" t="s">
        <v>51</v>
      </c>
      <c r="AS23" s="1" t="s">
        <v>51</v>
      </c>
      <c r="AU23" s="1" t="s">
        <v>151</v>
      </c>
      <c r="AV23">
        <v>25</v>
      </c>
    </row>
    <row r="24" spans="1:48" ht="30" customHeight="1" x14ac:dyDescent="0.3">
      <c r="A24" s="5" t="s">
        <v>147</v>
      </c>
      <c r="B24" s="5" t="s">
        <v>152</v>
      </c>
      <c r="C24" s="5" t="s">
        <v>65</v>
      </c>
      <c r="D24" s="6"/>
      <c r="E24" s="8"/>
      <c r="F24" s="8"/>
      <c r="G24" s="8"/>
      <c r="H24" s="8"/>
      <c r="I24" s="8"/>
      <c r="J24" s="8"/>
      <c r="K24" s="8"/>
      <c r="L24" s="8"/>
      <c r="M24" s="5" t="s">
        <v>153</v>
      </c>
      <c r="N24" s="1" t="s">
        <v>154</v>
      </c>
      <c r="O24" s="1" t="s">
        <v>51</v>
      </c>
      <c r="P24" s="1" t="s">
        <v>51</v>
      </c>
      <c r="Q24" s="1" t="s">
        <v>55</v>
      </c>
      <c r="R24" s="1" t="s">
        <v>61</v>
      </c>
      <c r="S24" s="1" t="s">
        <v>60</v>
      </c>
      <c r="T24" s="1" t="s">
        <v>60</v>
      </c>
      <c r="AR24" s="1" t="s">
        <v>51</v>
      </c>
      <c r="AS24" s="1" t="s">
        <v>51</v>
      </c>
      <c r="AU24" s="1" t="s">
        <v>155</v>
      </c>
      <c r="AV24">
        <v>26</v>
      </c>
    </row>
    <row r="25" spans="1:48" ht="30" customHeight="1" x14ac:dyDescent="0.3">
      <c r="A25" s="5" t="s">
        <v>63</v>
      </c>
      <c r="B25" s="5" t="s">
        <v>156</v>
      </c>
      <c r="C25" s="5" t="s">
        <v>65</v>
      </c>
      <c r="D25" s="6"/>
      <c r="E25" s="8"/>
      <c r="F25" s="8"/>
      <c r="G25" s="8"/>
      <c r="H25" s="8"/>
      <c r="I25" s="8"/>
      <c r="J25" s="8"/>
      <c r="K25" s="8"/>
      <c r="L25" s="8"/>
      <c r="M25" s="5" t="s">
        <v>157</v>
      </c>
      <c r="N25" s="1" t="s">
        <v>158</v>
      </c>
      <c r="O25" s="1" t="s">
        <v>51</v>
      </c>
      <c r="P25" s="1" t="s">
        <v>51</v>
      </c>
      <c r="Q25" s="1" t="s">
        <v>55</v>
      </c>
      <c r="R25" s="1" t="s">
        <v>61</v>
      </c>
      <c r="S25" s="1" t="s">
        <v>60</v>
      </c>
      <c r="T25" s="1" t="s">
        <v>60</v>
      </c>
      <c r="AR25" s="1" t="s">
        <v>51</v>
      </c>
      <c r="AS25" s="1" t="s">
        <v>51</v>
      </c>
      <c r="AU25" s="1" t="s">
        <v>159</v>
      </c>
      <c r="AV25">
        <v>27</v>
      </c>
    </row>
    <row r="26" spans="1:48" ht="30" customHeight="1" x14ac:dyDescent="0.3">
      <c r="A26" s="5" t="s">
        <v>160</v>
      </c>
      <c r="B26" s="5" t="s">
        <v>161</v>
      </c>
      <c r="C26" s="5" t="s">
        <v>58</v>
      </c>
      <c r="D26" s="6"/>
      <c r="E26" s="8"/>
      <c r="F26" s="8"/>
      <c r="G26" s="8"/>
      <c r="H26" s="8"/>
      <c r="I26" s="8"/>
      <c r="J26" s="8"/>
      <c r="K26" s="8"/>
      <c r="L26" s="8"/>
      <c r="M26" s="5" t="s">
        <v>162</v>
      </c>
      <c r="N26" s="1" t="s">
        <v>163</v>
      </c>
      <c r="O26" s="1" t="s">
        <v>51</v>
      </c>
      <c r="P26" s="1" t="s">
        <v>51</v>
      </c>
      <c r="Q26" s="1" t="s">
        <v>55</v>
      </c>
      <c r="R26" s="1" t="s">
        <v>61</v>
      </c>
      <c r="S26" s="1" t="s">
        <v>60</v>
      </c>
      <c r="T26" s="1" t="s">
        <v>60</v>
      </c>
      <c r="AR26" s="1" t="s">
        <v>51</v>
      </c>
      <c r="AS26" s="1" t="s">
        <v>51</v>
      </c>
      <c r="AU26" s="1" t="s">
        <v>164</v>
      </c>
      <c r="AV26">
        <v>28</v>
      </c>
    </row>
    <row r="27" spans="1:48" ht="30" customHeight="1" x14ac:dyDescent="0.3">
      <c r="A27" s="5" t="s">
        <v>96</v>
      </c>
      <c r="B27" s="5" t="s">
        <v>165</v>
      </c>
      <c r="C27" s="5" t="s">
        <v>166</v>
      </c>
      <c r="D27" s="6"/>
      <c r="E27" s="8"/>
      <c r="F27" s="8"/>
      <c r="G27" s="8"/>
      <c r="H27" s="8"/>
      <c r="I27" s="8"/>
      <c r="J27" s="8"/>
      <c r="K27" s="8"/>
      <c r="L27" s="8"/>
      <c r="M27" s="5" t="s">
        <v>167</v>
      </c>
      <c r="N27" s="1" t="s">
        <v>168</v>
      </c>
      <c r="O27" s="1" t="s">
        <v>51</v>
      </c>
      <c r="P27" s="1" t="s">
        <v>51</v>
      </c>
      <c r="Q27" s="1" t="s">
        <v>55</v>
      </c>
      <c r="R27" s="1" t="s">
        <v>61</v>
      </c>
      <c r="S27" s="1" t="s">
        <v>60</v>
      </c>
      <c r="T27" s="1" t="s">
        <v>60</v>
      </c>
      <c r="AR27" s="1" t="s">
        <v>51</v>
      </c>
      <c r="AS27" s="1" t="s">
        <v>51</v>
      </c>
      <c r="AU27" s="1" t="s">
        <v>169</v>
      </c>
      <c r="AV27">
        <v>29</v>
      </c>
    </row>
    <row r="28" spans="1:48" ht="30" customHeight="1" x14ac:dyDescent="0.3">
      <c r="A28" s="5" t="s">
        <v>106</v>
      </c>
      <c r="B28" s="5" t="s">
        <v>170</v>
      </c>
      <c r="C28" s="5" t="s">
        <v>65</v>
      </c>
      <c r="D28" s="6"/>
      <c r="E28" s="8"/>
      <c r="F28" s="8"/>
      <c r="G28" s="8"/>
      <c r="H28" s="8"/>
      <c r="I28" s="8"/>
      <c r="J28" s="8"/>
      <c r="K28" s="8"/>
      <c r="L28" s="8"/>
      <c r="M28" s="5" t="s">
        <v>171</v>
      </c>
      <c r="N28" s="1" t="s">
        <v>172</v>
      </c>
      <c r="O28" s="1" t="s">
        <v>51</v>
      </c>
      <c r="P28" s="1" t="s">
        <v>51</v>
      </c>
      <c r="Q28" s="1" t="s">
        <v>55</v>
      </c>
      <c r="R28" s="1" t="s">
        <v>61</v>
      </c>
      <c r="S28" s="1" t="s">
        <v>60</v>
      </c>
      <c r="T28" s="1" t="s">
        <v>60</v>
      </c>
      <c r="AR28" s="1" t="s">
        <v>51</v>
      </c>
      <c r="AS28" s="1" t="s">
        <v>51</v>
      </c>
      <c r="AU28" s="1" t="s">
        <v>173</v>
      </c>
      <c r="AV28">
        <v>245</v>
      </c>
    </row>
    <row r="29" spans="1:48" ht="30" customHeight="1" x14ac:dyDescent="0.3">
      <c r="A29" s="5" t="s">
        <v>174</v>
      </c>
      <c r="B29" s="5" t="s">
        <v>175</v>
      </c>
      <c r="C29" s="5" t="s">
        <v>88</v>
      </c>
      <c r="D29" s="6"/>
      <c r="E29" s="8"/>
      <c r="F29" s="8"/>
      <c r="G29" s="8"/>
      <c r="H29" s="8"/>
      <c r="I29" s="8"/>
      <c r="J29" s="8"/>
      <c r="K29" s="8"/>
      <c r="L29" s="8"/>
      <c r="M29" s="5" t="s">
        <v>176</v>
      </c>
      <c r="N29" s="1" t="s">
        <v>177</v>
      </c>
      <c r="O29" s="1" t="s">
        <v>51</v>
      </c>
      <c r="P29" s="1" t="s">
        <v>51</v>
      </c>
      <c r="Q29" s="1" t="s">
        <v>55</v>
      </c>
      <c r="R29" s="1" t="s">
        <v>61</v>
      </c>
      <c r="S29" s="1" t="s">
        <v>60</v>
      </c>
      <c r="T29" s="1" t="s">
        <v>60</v>
      </c>
      <c r="AR29" s="1" t="s">
        <v>51</v>
      </c>
      <c r="AS29" s="1" t="s">
        <v>51</v>
      </c>
      <c r="AU29" s="1" t="s">
        <v>178</v>
      </c>
      <c r="AV29">
        <v>30</v>
      </c>
    </row>
    <row r="30" spans="1:48" ht="30" customHeight="1" x14ac:dyDescent="0.3">
      <c r="A30" s="5" t="s">
        <v>174</v>
      </c>
      <c r="B30" s="5" t="s">
        <v>179</v>
      </c>
      <c r="C30" s="5" t="s">
        <v>88</v>
      </c>
      <c r="D30" s="6"/>
      <c r="E30" s="8"/>
      <c r="F30" s="8"/>
      <c r="G30" s="8"/>
      <c r="H30" s="8"/>
      <c r="I30" s="8"/>
      <c r="J30" s="8"/>
      <c r="K30" s="8"/>
      <c r="L30" s="8"/>
      <c r="M30" s="5" t="s">
        <v>180</v>
      </c>
      <c r="N30" s="1" t="s">
        <v>181</v>
      </c>
      <c r="O30" s="1" t="s">
        <v>51</v>
      </c>
      <c r="P30" s="1" t="s">
        <v>51</v>
      </c>
      <c r="Q30" s="1" t="s">
        <v>55</v>
      </c>
      <c r="R30" s="1" t="s">
        <v>61</v>
      </c>
      <c r="S30" s="1" t="s">
        <v>60</v>
      </c>
      <c r="T30" s="1" t="s">
        <v>60</v>
      </c>
      <c r="AR30" s="1" t="s">
        <v>51</v>
      </c>
      <c r="AS30" s="1" t="s">
        <v>51</v>
      </c>
      <c r="AU30" s="1" t="s">
        <v>182</v>
      </c>
      <c r="AV30">
        <v>246</v>
      </c>
    </row>
    <row r="31" spans="1:48" ht="30" customHeight="1" x14ac:dyDescent="0.3">
      <c r="A31" s="5" t="s">
        <v>183</v>
      </c>
      <c r="B31" s="5" t="s">
        <v>184</v>
      </c>
      <c r="C31" s="5" t="s">
        <v>88</v>
      </c>
      <c r="D31" s="6"/>
      <c r="E31" s="8"/>
      <c r="F31" s="8"/>
      <c r="G31" s="8"/>
      <c r="H31" s="8"/>
      <c r="I31" s="8"/>
      <c r="J31" s="8"/>
      <c r="K31" s="8"/>
      <c r="L31" s="8"/>
      <c r="M31" s="5" t="s">
        <v>185</v>
      </c>
      <c r="N31" s="1" t="s">
        <v>186</v>
      </c>
      <c r="O31" s="1" t="s">
        <v>51</v>
      </c>
      <c r="P31" s="1" t="s">
        <v>51</v>
      </c>
      <c r="Q31" s="1" t="s">
        <v>55</v>
      </c>
      <c r="R31" s="1" t="s">
        <v>61</v>
      </c>
      <c r="S31" s="1" t="s">
        <v>60</v>
      </c>
      <c r="T31" s="1" t="s">
        <v>60</v>
      </c>
      <c r="AR31" s="1" t="s">
        <v>51</v>
      </c>
      <c r="AS31" s="1" t="s">
        <v>51</v>
      </c>
      <c r="AU31" s="1" t="s">
        <v>187</v>
      </c>
      <c r="AV31">
        <v>247</v>
      </c>
    </row>
    <row r="32" spans="1:48" ht="30" customHeight="1" x14ac:dyDescent="0.3">
      <c r="A32" s="5" t="s">
        <v>69</v>
      </c>
      <c r="B32" s="5" t="s">
        <v>188</v>
      </c>
      <c r="C32" s="5" t="s">
        <v>65</v>
      </c>
      <c r="D32" s="6"/>
      <c r="E32" s="8"/>
      <c r="F32" s="8"/>
      <c r="G32" s="8"/>
      <c r="H32" s="8"/>
      <c r="I32" s="8"/>
      <c r="J32" s="8"/>
      <c r="K32" s="8"/>
      <c r="L32" s="8"/>
      <c r="M32" s="5" t="s">
        <v>189</v>
      </c>
      <c r="N32" s="1" t="s">
        <v>190</v>
      </c>
      <c r="O32" s="1" t="s">
        <v>51</v>
      </c>
      <c r="P32" s="1" t="s">
        <v>51</v>
      </c>
      <c r="Q32" s="1" t="s">
        <v>55</v>
      </c>
      <c r="R32" s="1" t="s">
        <v>61</v>
      </c>
      <c r="S32" s="1" t="s">
        <v>60</v>
      </c>
      <c r="T32" s="1" t="s">
        <v>60</v>
      </c>
      <c r="AR32" s="1" t="s">
        <v>51</v>
      </c>
      <c r="AS32" s="1" t="s">
        <v>51</v>
      </c>
      <c r="AU32" s="1" t="s">
        <v>191</v>
      </c>
      <c r="AV32">
        <v>31</v>
      </c>
    </row>
    <row r="33" spans="1:48" ht="30" customHeight="1" x14ac:dyDescent="0.3">
      <c r="A33" s="5" t="s">
        <v>69</v>
      </c>
      <c r="B33" s="5" t="s">
        <v>192</v>
      </c>
      <c r="C33" s="5" t="s">
        <v>65</v>
      </c>
      <c r="D33" s="6"/>
      <c r="E33" s="8"/>
      <c r="F33" s="8"/>
      <c r="G33" s="8"/>
      <c r="H33" s="8"/>
      <c r="I33" s="8"/>
      <c r="J33" s="8"/>
      <c r="K33" s="8"/>
      <c r="L33" s="8"/>
      <c r="M33" s="5" t="s">
        <v>193</v>
      </c>
      <c r="N33" s="1" t="s">
        <v>194</v>
      </c>
      <c r="O33" s="1" t="s">
        <v>51</v>
      </c>
      <c r="P33" s="1" t="s">
        <v>51</v>
      </c>
      <c r="Q33" s="1" t="s">
        <v>55</v>
      </c>
      <c r="R33" s="1" t="s">
        <v>61</v>
      </c>
      <c r="S33" s="1" t="s">
        <v>60</v>
      </c>
      <c r="T33" s="1" t="s">
        <v>60</v>
      </c>
      <c r="AR33" s="1" t="s">
        <v>51</v>
      </c>
      <c r="AS33" s="1" t="s">
        <v>51</v>
      </c>
      <c r="AU33" s="1" t="s">
        <v>195</v>
      </c>
      <c r="AV33">
        <v>32</v>
      </c>
    </row>
    <row r="34" spans="1:48" ht="30" customHeight="1" x14ac:dyDescent="0.3">
      <c r="A34" s="5" t="s">
        <v>69</v>
      </c>
      <c r="B34" s="5" t="s">
        <v>196</v>
      </c>
      <c r="C34" s="5" t="s">
        <v>65</v>
      </c>
      <c r="D34" s="6"/>
      <c r="E34" s="8"/>
      <c r="F34" s="8"/>
      <c r="G34" s="8"/>
      <c r="H34" s="8"/>
      <c r="I34" s="8"/>
      <c r="J34" s="8"/>
      <c r="K34" s="8"/>
      <c r="L34" s="8"/>
      <c r="M34" s="5" t="s">
        <v>197</v>
      </c>
      <c r="N34" s="1" t="s">
        <v>198</v>
      </c>
      <c r="O34" s="1" t="s">
        <v>51</v>
      </c>
      <c r="P34" s="1" t="s">
        <v>51</v>
      </c>
      <c r="Q34" s="1" t="s">
        <v>55</v>
      </c>
      <c r="R34" s="1" t="s">
        <v>61</v>
      </c>
      <c r="S34" s="1" t="s">
        <v>60</v>
      </c>
      <c r="T34" s="1" t="s">
        <v>60</v>
      </c>
      <c r="AR34" s="1" t="s">
        <v>51</v>
      </c>
      <c r="AS34" s="1" t="s">
        <v>51</v>
      </c>
      <c r="AU34" s="1" t="s">
        <v>199</v>
      </c>
      <c r="AV34">
        <v>33</v>
      </c>
    </row>
    <row r="35" spans="1:48" ht="30" customHeight="1" x14ac:dyDescent="0.3">
      <c r="A35" s="5" t="s">
        <v>69</v>
      </c>
      <c r="B35" s="5" t="s">
        <v>200</v>
      </c>
      <c r="C35" s="5" t="s">
        <v>65</v>
      </c>
      <c r="D35" s="6"/>
      <c r="E35" s="8"/>
      <c r="F35" s="8"/>
      <c r="G35" s="8"/>
      <c r="H35" s="8"/>
      <c r="I35" s="8"/>
      <c r="J35" s="8"/>
      <c r="K35" s="8"/>
      <c r="L35" s="8"/>
      <c r="M35" s="5" t="s">
        <v>201</v>
      </c>
      <c r="N35" s="1" t="s">
        <v>202</v>
      </c>
      <c r="O35" s="1" t="s">
        <v>51</v>
      </c>
      <c r="P35" s="1" t="s">
        <v>51</v>
      </c>
      <c r="Q35" s="1" t="s">
        <v>55</v>
      </c>
      <c r="R35" s="1" t="s">
        <v>61</v>
      </c>
      <c r="S35" s="1" t="s">
        <v>60</v>
      </c>
      <c r="T35" s="1" t="s">
        <v>60</v>
      </c>
      <c r="AR35" s="1" t="s">
        <v>51</v>
      </c>
      <c r="AS35" s="1" t="s">
        <v>51</v>
      </c>
      <c r="AU35" s="1" t="s">
        <v>203</v>
      </c>
      <c r="AV35">
        <v>34</v>
      </c>
    </row>
    <row r="36" spans="1:48" ht="30" customHeight="1" x14ac:dyDescent="0.3">
      <c r="A36" s="5"/>
      <c r="B36" s="5"/>
      <c r="C36" s="5"/>
      <c r="D36" s="6"/>
      <c r="E36" s="8"/>
      <c r="F36" s="8"/>
      <c r="G36" s="8"/>
      <c r="H36" s="8"/>
      <c r="I36" s="8"/>
      <c r="J36" s="8"/>
      <c r="K36" s="8"/>
      <c r="L36" s="8"/>
      <c r="M36" s="5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8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207</v>
      </c>
      <c r="B51" s="6"/>
      <c r="C51" s="6"/>
      <c r="D51" s="6"/>
      <c r="E51" s="6"/>
      <c r="F51" s="8"/>
      <c r="G51" s="6"/>
      <c r="H51" s="8"/>
      <c r="I51" s="6"/>
      <c r="J51" s="8"/>
      <c r="K51" s="6"/>
      <c r="L51" s="8"/>
      <c r="M51" s="6"/>
      <c r="N51" t="s">
        <v>208</v>
      </c>
    </row>
    <row r="52" spans="1:48" ht="30" customHeight="1" x14ac:dyDescent="0.3">
      <c r="A52" s="5" t="s">
        <v>2299</v>
      </c>
      <c r="B52" s="5" t="s">
        <v>51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209</v>
      </c>
    </row>
    <row r="53" spans="1:48" ht="30" customHeight="1" x14ac:dyDescent="0.3">
      <c r="A53" s="5" t="s">
        <v>210</v>
      </c>
      <c r="B53" s="5" t="s">
        <v>51</v>
      </c>
      <c r="C53" s="5" t="s">
        <v>211</v>
      </c>
      <c r="D53" s="6"/>
      <c r="E53" s="8"/>
      <c r="F53" s="8"/>
      <c r="G53" s="8"/>
      <c r="H53" s="8"/>
      <c r="I53" s="8"/>
      <c r="J53" s="8"/>
      <c r="K53" s="8"/>
      <c r="L53" s="8"/>
      <c r="M53" s="5" t="s">
        <v>212</v>
      </c>
      <c r="N53" s="1" t="s">
        <v>213</v>
      </c>
      <c r="O53" s="1" t="s">
        <v>51</v>
      </c>
      <c r="P53" s="1" t="s">
        <v>51</v>
      </c>
      <c r="Q53" s="1" t="s">
        <v>209</v>
      </c>
      <c r="R53" s="1" t="s">
        <v>61</v>
      </c>
      <c r="S53" s="1" t="s">
        <v>60</v>
      </c>
      <c r="T53" s="1" t="s">
        <v>60</v>
      </c>
      <c r="AR53" s="1" t="s">
        <v>51</v>
      </c>
      <c r="AS53" s="1" t="s">
        <v>51</v>
      </c>
      <c r="AU53" s="1" t="s">
        <v>214</v>
      </c>
      <c r="AV53">
        <v>37</v>
      </c>
    </row>
    <row r="54" spans="1:48" ht="30" customHeight="1" x14ac:dyDescent="0.3">
      <c r="A54" s="5" t="s">
        <v>215</v>
      </c>
      <c r="B54" s="5" t="s">
        <v>51</v>
      </c>
      <c r="C54" s="5" t="s">
        <v>211</v>
      </c>
      <c r="D54" s="6"/>
      <c r="E54" s="8"/>
      <c r="F54" s="8"/>
      <c r="G54" s="8"/>
      <c r="H54" s="8"/>
      <c r="I54" s="8"/>
      <c r="J54" s="8"/>
      <c r="K54" s="8"/>
      <c r="L54" s="8"/>
      <c r="M54" s="5" t="s">
        <v>216</v>
      </c>
      <c r="N54" s="1" t="s">
        <v>217</v>
      </c>
      <c r="O54" s="1" t="s">
        <v>51</v>
      </c>
      <c r="P54" s="1" t="s">
        <v>51</v>
      </c>
      <c r="Q54" s="1" t="s">
        <v>209</v>
      </c>
      <c r="R54" s="1" t="s">
        <v>61</v>
      </c>
      <c r="S54" s="1" t="s">
        <v>60</v>
      </c>
      <c r="T54" s="1" t="s">
        <v>60</v>
      </c>
      <c r="AR54" s="1" t="s">
        <v>51</v>
      </c>
      <c r="AS54" s="1" t="s">
        <v>51</v>
      </c>
      <c r="AU54" s="1" t="s">
        <v>218</v>
      </c>
      <c r="AV54">
        <v>38</v>
      </c>
    </row>
    <row r="55" spans="1:48" ht="30" customHeight="1" x14ac:dyDescent="0.3">
      <c r="A55" s="5" t="s">
        <v>219</v>
      </c>
      <c r="B55" s="5" t="s">
        <v>220</v>
      </c>
      <c r="C55" s="5" t="s">
        <v>58</v>
      </c>
      <c r="D55" s="6"/>
      <c r="E55" s="8"/>
      <c r="F55" s="8"/>
      <c r="G55" s="8"/>
      <c r="H55" s="8"/>
      <c r="I55" s="8"/>
      <c r="J55" s="8"/>
      <c r="K55" s="8"/>
      <c r="L55" s="8"/>
      <c r="M55" s="5" t="s">
        <v>51</v>
      </c>
      <c r="N55" s="1" t="s">
        <v>221</v>
      </c>
      <c r="O55" s="1" t="s">
        <v>51</v>
      </c>
      <c r="P55" s="1" t="s">
        <v>51</v>
      </c>
      <c r="Q55" s="1" t="s">
        <v>209</v>
      </c>
      <c r="R55" s="1" t="s">
        <v>60</v>
      </c>
      <c r="S55" s="1" t="s">
        <v>60</v>
      </c>
      <c r="T55" s="1" t="s">
        <v>61</v>
      </c>
      <c r="AR55" s="1" t="s">
        <v>51</v>
      </c>
      <c r="AS55" s="1" t="s">
        <v>51</v>
      </c>
      <c r="AU55" s="1" t="s">
        <v>222</v>
      </c>
      <c r="AV55">
        <v>39</v>
      </c>
    </row>
    <row r="56" spans="1:48" ht="30" customHeight="1" x14ac:dyDescent="0.3">
      <c r="A56" s="5" t="s">
        <v>219</v>
      </c>
      <c r="B56" s="5" t="s">
        <v>223</v>
      </c>
      <c r="C56" s="5" t="s">
        <v>58</v>
      </c>
      <c r="D56" s="6"/>
      <c r="E56" s="8"/>
      <c r="F56" s="8"/>
      <c r="G56" s="8"/>
      <c r="H56" s="8"/>
      <c r="I56" s="8"/>
      <c r="J56" s="8"/>
      <c r="K56" s="8"/>
      <c r="L56" s="8"/>
      <c r="M56" s="5" t="s">
        <v>51</v>
      </c>
      <c r="N56" s="1" t="s">
        <v>224</v>
      </c>
      <c r="O56" s="1" t="s">
        <v>51</v>
      </c>
      <c r="P56" s="1" t="s">
        <v>51</v>
      </c>
      <c r="Q56" s="1" t="s">
        <v>209</v>
      </c>
      <c r="R56" s="1" t="s">
        <v>60</v>
      </c>
      <c r="S56" s="1" t="s">
        <v>60</v>
      </c>
      <c r="T56" s="1" t="s">
        <v>61</v>
      </c>
      <c r="AR56" s="1" t="s">
        <v>51</v>
      </c>
      <c r="AS56" s="1" t="s">
        <v>51</v>
      </c>
      <c r="AU56" s="1" t="s">
        <v>225</v>
      </c>
      <c r="AV56">
        <v>40</v>
      </c>
    </row>
    <row r="57" spans="1:48" ht="30" customHeight="1" x14ac:dyDescent="0.3">
      <c r="A57" s="5" t="s">
        <v>226</v>
      </c>
      <c r="B57" s="5" t="s">
        <v>51</v>
      </c>
      <c r="C57" s="5" t="s">
        <v>211</v>
      </c>
      <c r="D57" s="6"/>
      <c r="E57" s="8"/>
      <c r="F57" s="8"/>
      <c r="G57" s="8"/>
      <c r="H57" s="8"/>
      <c r="I57" s="8"/>
      <c r="J57" s="8"/>
      <c r="K57" s="8"/>
      <c r="L57" s="8"/>
      <c r="M57" s="5" t="s">
        <v>227</v>
      </c>
      <c r="N57" s="1" t="s">
        <v>228</v>
      </c>
      <c r="O57" s="1" t="s">
        <v>51</v>
      </c>
      <c r="P57" s="1" t="s">
        <v>51</v>
      </c>
      <c r="Q57" s="1" t="s">
        <v>209</v>
      </c>
      <c r="R57" s="1" t="s">
        <v>61</v>
      </c>
      <c r="S57" s="1" t="s">
        <v>60</v>
      </c>
      <c r="T57" s="1" t="s">
        <v>60</v>
      </c>
      <c r="AR57" s="1" t="s">
        <v>51</v>
      </c>
      <c r="AS57" s="1" t="s">
        <v>51</v>
      </c>
      <c r="AU57" s="1" t="s">
        <v>229</v>
      </c>
      <c r="AV57">
        <v>41</v>
      </c>
    </row>
    <row r="58" spans="1:48" ht="30" customHeight="1" x14ac:dyDescent="0.3">
      <c r="A58" s="5" t="s">
        <v>230</v>
      </c>
      <c r="B58" s="5" t="s">
        <v>51</v>
      </c>
      <c r="C58" s="5" t="s">
        <v>211</v>
      </c>
      <c r="D58" s="6"/>
      <c r="E58" s="8"/>
      <c r="F58" s="8"/>
      <c r="G58" s="8"/>
      <c r="H58" s="8"/>
      <c r="I58" s="8"/>
      <c r="J58" s="8"/>
      <c r="K58" s="8"/>
      <c r="L58" s="8"/>
      <c r="M58" s="5" t="s">
        <v>231</v>
      </c>
      <c r="N58" s="1" t="s">
        <v>232</v>
      </c>
      <c r="O58" s="1" t="s">
        <v>51</v>
      </c>
      <c r="P58" s="1" t="s">
        <v>51</v>
      </c>
      <c r="Q58" s="1" t="s">
        <v>209</v>
      </c>
      <c r="R58" s="1" t="s">
        <v>61</v>
      </c>
      <c r="S58" s="1" t="s">
        <v>60</v>
      </c>
      <c r="T58" s="1" t="s">
        <v>60</v>
      </c>
      <c r="AR58" s="1" t="s">
        <v>51</v>
      </c>
      <c r="AS58" s="1" t="s">
        <v>51</v>
      </c>
      <c r="AU58" s="1" t="s">
        <v>233</v>
      </c>
      <c r="AV58">
        <v>42</v>
      </c>
    </row>
    <row r="59" spans="1:48" ht="30" customHeight="1" x14ac:dyDescent="0.3">
      <c r="A59" s="5" t="s">
        <v>234</v>
      </c>
      <c r="B59" s="5" t="s">
        <v>51</v>
      </c>
      <c r="C59" s="5" t="s">
        <v>211</v>
      </c>
      <c r="D59" s="6"/>
      <c r="E59" s="8"/>
      <c r="F59" s="8"/>
      <c r="G59" s="8"/>
      <c r="H59" s="8"/>
      <c r="I59" s="8"/>
      <c r="J59" s="8"/>
      <c r="K59" s="8"/>
      <c r="L59" s="8"/>
      <c r="M59" s="5" t="s">
        <v>235</v>
      </c>
      <c r="N59" s="1" t="s">
        <v>236</v>
      </c>
      <c r="O59" s="1" t="s">
        <v>51</v>
      </c>
      <c r="P59" s="1" t="s">
        <v>51</v>
      </c>
      <c r="Q59" s="1" t="s">
        <v>209</v>
      </c>
      <c r="R59" s="1" t="s">
        <v>61</v>
      </c>
      <c r="S59" s="1" t="s">
        <v>60</v>
      </c>
      <c r="T59" s="1" t="s">
        <v>60</v>
      </c>
      <c r="AR59" s="1" t="s">
        <v>51</v>
      </c>
      <c r="AS59" s="1" t="s">
        <v>51</v>
      </c>
      <c r="AU59" s="1" t="s">
        <v>237</v>
      </c>
      <c r="AV59">
        <v>43</v>
      </c>
    </row>
    <row r="60" spans="1:48" ht="30" customHeight="1" x14ac:dyDescent="0.3">
      <c r="A60" s="5" t="s">
        <v>238</v>
      </c>
      <c r="B60" s="5" t="s">
        <v>51</v>
      </c>
      <c r="C60" s="5" t="s">
        <v>211</v>
      </c>
      <c r="D60" s="6"/>
      <c r="E60" s="8"/>
      <c r="F60" s="8"/>
      <c r="G60" s="8"/>
      <c r="H60" s="8"/>
      <c r="I60" s="8"/>
      <c r="J60" s="8"/>
      <c r="K60" s="8"/>
      <c r="L60" s="8"/>
      <c r="M60" s="5" t="s">
        <v>239</v>
      </c>
      <c r="N60" s="1" t="s">
        <v>240</v>
      </c>
      <c r="O60" s="1" t="s">
        <v>51</v>
      </c>
      <c r="P60" s="1" t="s">
        <v>51</v>
      </c>
      <c r="Q60" s="1" t="s">
        <v>209</v>
      </c>
      <c r="R60" s="1" t="s">
        <v>61</v>
      </c>
      <c r="S60" s="1" t="s">
        <v>60</v>
      </c>
      <c r="T60" s="1" t="s">
        <v>60</v>
      </c>
      <c r="AR60" s="1" t="s">
        <v>51</v>
      </c>
      <c r="AS60" s="1" t="s">
        <v>51</v>
      </c>
      <c r="AU60" s="1" t="s">
        <v>241</v>
      </c>
      <c r="AV60">
        <v>44</v>
      </c>
    </row>
    <row r="61" spans="1:48" ht="30" customHeight="1" x14ac:dyDescent="0.3">
      <c r="A61" s="5" t="s">
        <v>242</v>
      </c>
      <c r="B61" s="5" t="s">
        <v>243</v>
      </c>
      <c r="C61" s="5" t="s">
        <v>65</v>
      </c>
      <c r="D61" s="6"/>
      <c r="E61" s="8"/>
      <c r="F61" s="8"/>
      <c r="G61" s="8"/>
      <c r="H61" s="8"/>
      <c r="I61" s="8"/>
      <c r="J61" s="8"/>
      <c r="K61" s="8"/>
      <c r="L61" s="8"/>
      <c r="M61" s="5" t="s">
        <v>244</v>
      </c>
      <c r="N61" s="1" t="s">
        <v>245</v>
      </c>
      <c r="O61" s="1" t="s">
        <v>51</v>
      </c>
      <c r="P61" s="1" t="s">
        <v>51</v>
      </c>
      <c r="Q61" s="1" t="s">
        <v>209</v>
      </c>
      <c r="R61" s="1" t="s">
        <v>61</v>
      </c>
      <c r="S61" s="1" t="s">
        <v>60</v>
      </c>
      <c r="T61" s="1" t="s">
        <v>60</v>
      </c>
      <c r="AR61" s="1" t="s">
        <v>51</v>
      </c>
      <c r="AS61" s="1" t="s">
        <v>51</v>
      </c>
      <c r="AU61" s="1" t="s">
        <v>246</v>
      </c>
      <c r="AV61">
        <v>45</v>
      </c>
    </row>
    <row r="62" spans="1:48" ht="30" customHeight="1" x14ac:dyDescent="0.3">
      <c r="A62" s="5" t="s">
        <v>242</v>
      </c>
      <c r="B62" s="5" t="s">
        <v>247</v>
      </c>
      <c r="C62" s="5" t="s">
        <v>65</v>
      </c>
      <c r="D62" s="6"/>
      <c r="E62" s="8"/>
      <c r="F62" s="8"/>
      <c r="G62" s="8"/>
      <c r="H62" s="8"/>
      <c r="I62" s="8"/>
      <c r="J62" s="8"/>
      <c r="K62" s="8"/>
      <c r="L62" s="8"/>
      <c r="M62" s="5" t="s">
        <v>248</v>
      </c>
      <c r="N62" s="1" t="s">
        <v>249</v>
      </c>
      <c r="O62" s="1" t="s">
        <v>51</v>
      </c>
      <c r="P62" s="1" t="s">
        <v>51</v>
      </c>
      <c r="Q62" s="1" t="s">
        <v>209</v>
      </c>
      <c r="R62" s="1" t="s">
        <v>61</v>
      </c>
      <c r="S62" s="1" t="s">
        <v>60</v>
      </c>
      <c r="T62" s="1" t="s">
        <v>60</v>
      </c>
      <c r="AR62" s="1" t="s">
        <v>51</v>
      </c>
      <c r="AS62" s="1" t="s">
        <v>51</v>
      </c>
      <c r="AU62" s="1" t="s">
        <v>250</v>
      </c>
      <c r="AV62">
        <v>46</v>
      </c>
    </row>
    <row r="63" spans="1:48" ht="30" customHeight="1" x14ac:dyDescent="0.3">
      <c r="A63" s="5" t="s">
        <v>251</v>
      </c>
      <c r="B63" s="5" t="s">
        <v>252</v>
      </c>
      <c r="C63" s="5" t="s">
        <v>88</v>
      </c>
      <c r="D63" s="6"/>
      <c r="E63" s="8"/>
      <c r="F63" s="8"/>
      <c r="G63" s="8"/>
      <c r="H63" s="8"/>
      <c r="I63" s="8"/>
      <c r="J63" s="8"/>
      <c r="K63" s="8"/>
      <c r="L63" s="8"/>
      <c r="M63" s="5" t="s">
        <v>253</v>
      </c>
      <c r="N63" s="1" t="s">
        <v>254</v>
      </c>
      <c r="O63" s="1" t="s">
        <v>51</v>
      </c>
      <c r="P63" s="1" t="s">
        <v>51</v>
      </c>
      <c r="Q63" s="1" t="s">
        <v>209</v>
      </c>
      <c r="R63" s="1" t="s">
        <v>61</v>
      </c>
      <c r="S63" s="1" t="s">
        <v>60</v>
      </c>
      <c r="T63" s="1" t="s">
        <v>60</v>
      </c>
      <c r="AR63" s="1" t="s">
        <v>51</v>
      </c>
      <c r="AS63" s="1" t="s">
        <v>51</v>
      </c>
      <c r="AU63" s="1" t="s">
        <v>255</v>
      </c>
      <c r="AV63">
        <v>47</v>
      </c>
    </row>
    <row r="64" spans="1:48" ht="30" customHeight="1" x14ac:dyDescent="0.3">
      <c r="A64" s="5" t="s">
        <v>251</v>
      </c>
      <c r="B64" s="5" t="s">
        <v>256</v>
      </c>
      <c r="C64" s="5" t="s">
        <v>88</v>
      </c>
      <c r="D64" s="6"/>
      <c r="E64" s="8"/>
      <c r="F64" s="8"/>
      <c r="G64" s="8"/>
      <c r="H64" s="8"/>
      <c r="I64" s="8"/>
      <c r="J64" s="8"/>
      <c r="K64" s="8"/>
      <c r="L64" s="8"/>
      <c r="M64" s="5" t="s">
        <v>257</v>
      </c>
      <c r="N64" s="1" t="s">
        <v>258</v>
      </c>
      <c r="O64" s="1" t="s">
        <v>51</v>
      </c>
      <c r="P64" s="1" t="s">
        <v>51</v>
      </c>
      <c r="Q64" s="1" t="s">
        <v>209</v>
      </c>
      <c r="R64" s="1" t="s">
        <v>61</v>
      </c>
      <c r="S64" s="1" t="s">
        <v>60</v>
      </c>
      <c r="T64" s="1" t="s">
        <v>60</v>
      </c>
      <c r="AR64" s="1" t="s">
        <v>51</v>
      </c>
      <c r="AS64" s="1" t="s">
        <v>51</v>
      </c>
      <c r="AU64" s="1" t="s">
        <v>259</v>
      </c>
      <c r="AV64">
        <v>48</v>
      </c>
    </row>
    <row r="65" spans="1:48" ht="30" customHeight="1" x14ac:dyDescent="0.3">
      <c r="A65" s="5" t="s">
        <v>106</v>
      </c>
      <c r="B65" s="5" t="s">
        <v>260</v>
      </c>
      <c r="C65" s="5" t="s">
        <v>65</v>
      </c>
      <c r="D65" s="6"/>
      <c r="E65" s="8"/>
      <c r="F65" s="8"/>
      <c r="G65" s="8"/>
      <c r="H65" s="8"/>
      <c r="I65" s="8"/>
      <c r="J65" s="8"/>
      <c r="K65" s="8"/>
      <c r="L65" s="8"/>
      <c r="M65" s="5" t="s">
        <v>261</v>
      </c>
      <c r="N65" s="1" t="s">
        <v>262</v>
      </c>
      <c r="O65" s="1" t="s">
        <v>51</v>
      </c>
      <c r="P65" s="1" t="s">
        <v>51</v>
      </c>
      <c r="Q65" s="1" t="s">
        <v>209</v>
      </c>
      <c r="R65" s="1" t="s">
        <v>61</v>
      </c>
      <c r="S65" s="1" t="s">
        <v>60</v>
      </c>
      <c r="T65" s="1" t="s">
        <v>60</v>
      </c>
      <c r="AR65" s="1" t="s">
        <v>51</v>
      </c>
      <c r="AS65" s="1" t="s">
        <v>51</v>
      </c>
      <c r="AU65" s="1" t="s">
        <v>263</v>
      </c>
      <c r="AV65">
        <v>49</v>
      </c>
    </row>
    <row r="66" spans="1:48" ht="30" customHeight="1" x14ac:dyDescent="0.3">
      <c r="A66" s="5" t="s">
        <v>106</v>
      </c>
      <c r="B66" s="5" t="s">
        <v>264</v>
      </c>
      <c r="C66" s="5" t="s">
        <v>65</v>
      </c>
      <c r="D66" s="6"/>
      <c r="E66" s="8"/>
      <c r="F66" s="8"/>
      <c r="G66" s="8"/>
      <c r="H66" s="8"/>
      <c r="I66" s="8"/>
      <c r="J66" s="8"/>
      <c r="K66" s="8"/>
      <c r="L66" s="8"/>
      <c r="M66" s="5" t="s">
        <v>265</v>
      </c>
      <c r="N66" s="1" t="s">
        <v>266</v>
      </c>
      <c r="O66" s="1" t="s">
        <v>51</v>
      </c>
      <c r="P66" s="1" t="s">
        <v>51</v>
      </c>
      <c r="Q66" s="1" t="s">
        <v>209</v>
      </c>
      <c r="R66" s="1" t="s">
        <v>61</v>
      </c>
      <c r="S66" s="1" t="s">
        <v>60</v>
      </c>
      <c r="T66" s="1" t="s">
        <v>60</v>
      </c>
      <c r="AR66" s="1" t="s">
        <v>51</v>
      </c>
      <c r="AS66" s="1" t="s">
        <v>51</v>
      </c>
      <c r="AU66" s="1" t="s">
        <v>267</v>
      </c>
      <c r="AV66">
        <v>50</v>
      </c>
    </row>
    <row r="67" spans="1:48" ht="30" customHeight="1" x14ac:dyDescent="0.3">
      <c r="A67" s="5" t="s">
        <v>183</v>
      </c>
      <c r="B67" s="5" t="s">
        <v>268</v>
      </c>
      <c r="C67" s="5" t="s">
        <v>88</v>
      </c>
      <c r="D67" s="6"/>
      <c r="E67" s="8"/>
      <c r="F67" s="8"/>
      <c r="G67" s="8"/>
      <c r="H67" s="8"/>
      <c r="I67" s="8"/>
      <c r="J67" s="8"/>
      <c r="K67" s="8"/>
      <c r="L67" s="8"/>
      <c r="M67" s="5" t="s">
        <v>269</v>
      </c>
      <c r="N67" s="1" t="s">
        <v>270</v>
      </c>
      <c r="O67" s="1" t="s">
        <v>51</v>
      </c>
      <c r="P67" s="1" t="s">
        <v>51</v>
      </c>
      <c r="Q67" s="1" t="s">
        <v>209</v>
      </c>
      <c r="R67" s="1" t="s">
        <v>61</v>
      </c>
      <c r="S67" s="1" t="s">
        <v>60</v>
      </c>
      <c r="T67" s="1" t="s">
        <v>60</v>
      </c>
      <c r="AR67" s="1" t="s">
        <v>51</v>
      </c>
      <c r="AS67" s="1" t="s">
        <v>51</v>
      </c>
      <c r="AU67" s="1" t="s">
        <v>271</v>
      </c>
      <c r="AV67">
        <v>51</v>
      </c>
    </row>
    <row r="68" spans="1:48" ht="30" customHeight="1" x14ac:dyDescent="0.3">
      <c r="A68" s="5" t="s">
        <v>183</v>
      </c>
      <c r="B68" s="5" t="s">
        <v>272</v>
      </c>
      <c r="C68" s="5" t="s">
        <v>88</v>
      </c>
      <c r="D68" s="6"/>
      <c r="E68" s="8"/>
      <c r="F68" s="8"/>
      <c r="G68" s="8"/>
      <c r="H68" s="8"/>
      <c r="I68" s="8"/>
      <c r="J68" s="8"/>
      <c r="K68" s="8"/>
      <c r="L68" s="8"/>
      <c r="M68" s="5" t="s">
        <v>273</v>
      </c>
      <c r="N68" s="1" t="s">
        <v>274</v>
      </c>
      <c r="O68" s="1" t="s">
        <v>51</v>
      </c>
      <c r="P68" s="1" t="s">
        <v>51</v>
      </c>
      <c r="Q68" s="1" t="s">
        <v>209</v>
      </c>
      <c r="R68" s="1" t="s">
        <v>61</v>
      </c>
      <c r="S68" s="1" t="s">
        <v>60</v>
      </c>
      <c r="T68" s="1" t="s">
        <v>60</v>
      </c>
      <c r="AR68" s="1" t="s">
        <v>51</v>
      </c>
      <c r="AS68" s="1" t="s">
        <v>51</v>
      </c>
      <c r="AU68" s="1" t="s">
        <v>275</v>
      </c>
      <c r="AV68">
        <v>52</v>
      </c>
    </row>
    <row r="69" spans="1:48" ht="30" customHeight="1" x14ac:dyDescent="0.3">
      <c r="A69" s="5" t="s">
        <v>69</v>
      </c>
      <c r="B69" s="5" t="s">
        <v>188</v>
      </c>
      <c r="C69" s="5" t="s">
        <v>65</v>
      </c>
      <c r="D69" s="6"/>
      <c r="E69" s="8"/>
      <c r="F69" s="8"/>
      <c r="G69" s="8"/>
      <c r="H69" s="8"/>
      <c r="I69" s="8"/>
      <c r="J69" s="8"/>
      <c r="K69" s="8"/>
      <c r="L69" s="8"/>
      <c r="M69" s="5" t="s">
        <v>189</v>
      </c>
      <c r="N69" s="1" t="s">
        <v>190</v>
      </c>
      <c r="O69" s="1" t="s">
        <v>51</v>
      </c>
      <c r="P69" s="1" t="s">
        <v>51</v>
      </c>
      <c r="Q69" s="1" t="s">
        <v>209</v>
      </c>
      <c r="R69" s="1" t="s">
        <v>61</v>
      </c>
      <c r="S69" s="1" t="s">
        <v>60</v>
      </c>
      <c r="T69" s="1" t="s">
        <v>60</v>
      </c>
      <c r="AR69" s="1" t="s">
        <v>51</v>
      </c>
      <c r="AS69" s="1" t="s">
        <v>51</v>
      </c>
      <c r="AU69" s="1" t="s">
        <v>276</v>
      </c>
      <c r="AV69">
        <v>53</v>
      </c>
    </row>
    <row r="70" spans="1:48" ht="30" customHeight="1" x14ac:dyDescent="0.3">
      <c r="A70" s="5" t="s">
        <v>69</v>
      </c>
      <c r="B70" s="5" t="s">
        <v>196</v>
      </c>
      <c r="C70" s="5" t="s">
        <v>65</v>
      </c>
      <c r="D70" s="6"/>
      <c r="E70" s="8"/>
      <c r="F70" s="8"/>
      <c r="G70" s="8"/>
      <c r="H70" s="8"/>
      <c r="I70" s="8"/>
      <c r="J70" s="8"/>
      <c r="K70" s="8"/>
      <c r="L70" s="8"/>
      <c r="M70" s="5" t="s">
        <v>197</v>
      </c>
      <c r="N70" s="1" t="s">
        <v>198</v>
      </c>
      <c r="O70" s="1" t="s">
        <v>51</v>
      </c>
      <c r="P70" s="1" t="s">
        <v>51</v>
      </c>
      <c r="Q70" s="1" t="s">
        <v>209</v>
      </c>
      <c r="R70" s="1" t="s">
        <v>61</v>
      </c>
      <c r="S70" s="1" t="s">
        <v>60</v>
      </c>
      <c r="T70" s="1" t="s">
        <v>60</v>
      </c>
      <c r="AR70" s="1" t="s">
        <v>51</v>
      </c>
      <c r="AS70" s="1" t="s">
        <v>51</v>
      </c>
      <c r="AU70" s="1" t="s">
        <v>277</v>
      </c>
      <c r="AV70">
        <v>54</v>
      </c>
    </row>
    <row r="71" spans="1:48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5" t="s">
        <v>207</v>
      </c>
      <c r="B75" s="6"/>
      <c r="C75" s="6"/>
      <c r="D75" s="6"/>
      <c r="E75" s="6"/>
      <c r="F75" s="8"/>
      <c r="G75" s="6"/>
      <c r="H75" s="8"/>
      <c r="I75" s="6"/>
      <c r="J75" s="8"/>
      <c r="K75" s="6"/>
      <c r="L75" s="8"/>
      <c r="M75" s="6"/>
      <c r="N75" t="s">
        <v>208</v>
      </c>
    </row>
    <row r="76" spans="1:48" ht="30" customHeight="1" x14ac:dyDescent="0.3">
      <c r="A76" s="5" t="s">
        <v>2301</v>
      </c>
      <c r="B76" s="5" t="s">
        <v>51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 t="s">
        <v>279</v>
      </c>
    </row>
    <row r="77" spans="1:48" ht="30" customHeight="1" x14ac:dyDescent="0.3">
      <c r="A77" s="5" t="s">
        <v>280</v>
      </c>
      <c r="B77" s="5" t="s">
        <v>281</v>
      </c>
      <c r="C77" s="5" t="s">
        <v>58</v>
      </c>
      <c r="D77" s="6"/>
      <c r="E77" s="8"/>
      <c r="F77" s="8"/>
      <c r="G77" s="8"/>
      <c r="H77" s="8"/>
      <c r="I77" s="8"/>
      <c r="J77" s="8"/>
      <c r="K77" s="8"/>
      <c r="L77" s="8"/>
      <c r="M77" s="5" t="s">
        <v>51</v>
      </c>
      <c r="N77" s="1" t="s">
        <v>282</v>
      </c>
      <c r="O77" s="1" t="s">
        <v>51</v>
      </c>
      <c r="P77" s="1" t="s">
        <v>51</v>
      </c>
      <c r="Q77" s="1" t="s">
        <v>279</v>
      </c>
      <c r="R77" s="1" t="s">
        <v>60</v>
      </c>
      <c r="S77" s="1" t="s">
        <v>60</v>
      </c>
      <c r="T77" s="1" t="s">
        <v>61</v>
      </c>
      <c r="AR77" s="1" t="s">
        <v>51</v>
      </c>
      <c r="AS77" s="1" t="s">
        <v>51</v>
      </c>
      <c r="AU77" s="1" t="s">
        <v>283</v>
      </c>
      <c r="AV77">
        <v>57</v>
      </c>
    </row>
    <row r="78" spans="1:48" ht="30" customHeight="1" x14ac:dyDescent="0.3">
      <c r="A78" s="5" t="s">
        <v>284</v>
      </c>
      <c r="B78" s="5" t="s">
        <v>285</v>
      </c>
      <c r="C78" s="5" t="s">
        <v>65</v>
      </c>
      <c r="D78" s="6"/>
      <c r="E78" s="8"/>
      <c r="F78" s="8"/>
      <c r="G78" s="8"/>
      <c r="H78" s="8"/>
      <c r="I78" s="8"/>
      <c r="J78" s="8"/>
      <c r="K78" s="8"/>
      <c r="L78" s="8"/>
      <c r="M78" s="5" t="s">
        <v>286</v>
      </c>
      <c r="N78" s="1" t="s">
        <v>287</v>
      </c>
      <c r="O78" s="1" t="s">
        <v>51</v>
      </c>
      <c r="P78" s="1" t="s">
        <v>51</v>
      </c>
      <c r="Q78" s="1" t="s">
        <v>279</v>
      </c>
      <c r="R78" s="1" t="s">
        <v>61</v>
      </c>
      <c r="S78" s="1" t="s">
        <v>60</v>
      </c>
      <c r="T78" s="1" t="s">
        <v>60</v>
      </c>
      <c r="AR78" s="1" t="s">
        <v>51</v>
      </c>
      <c r="AS78" s="1" t="s">
        <v>51</v>
      </c>
      <c r="AU78" s="1" t="s">
        <v>288</v>
      </c>
      <c r="AV78">
        <v>58</v>
      </c>
    </row>
    <row r="79" spans="1:48" ht="30" customHeight="1" x14ac:dyDescent="0.3">
      <c r="A79" s="5" t="s">
        <v>289</v>
      </c>
      <c r="B79" s="5" t="s">
        <v>290</v>
      </c>
      <c r="C79" s="5" t="s">
        <v>58</v>
      </c>
      <c r="D79" s="6"/>
      <c r="E79" s="8"/>
      <c r="F79" s="8"/>
      <c r="G79" s="8"/>
      <c r="H79" s="8"/>
      <c r="I79" s="8"/>
      <c r="J79" s="8"/>
      <c r="K79" s="8"/>
      <c r="L79" s="8"/>
      <c r="M79" s="5" t="s">
        <v>291</v>
      </c>
      <c r="N79" s="1" t="s">
        <v>292</v>
      </c>
      <c r="O79" s="1" t="s">
        <v>51</v>
      </c>
      <c r="P79" s="1" t="s">
        <v>51</v>
      </c>
      <c r="Q79" s="1" t="s">
        <v>279</v>
      </c>
      <c r="R79" s="1" t="s">
        <v>61</v>
      </c>
      <c r="S79" s="1" t="s">
        <v>60</v>
      </c>
      <c r="T79" s="1" t="s">
        <v>60</v>
      </c>
      <c r="AR79" s="1" t="s">
        <v>51</v>
      </c>
      <c r="AS79" s="1" t="s">
        <v>51</v>
      </c>
      <c r="AU79" s="1" t="s">
        <v>293</v>
      </c>
      <c r="AV79">
        <v>59</v>
      </c>
    </row>
    <row r="80" spans="1:48" ht="30" customHeight="1" x14ac:dyDescent="0.3">
      <c r="A80" s="5" t="s">
        <v>294</v>
      </c>
      <c r="B80" s="5" t="s">
        <v>295</v>
      </c>
      <c r="C80" s="5" t="s">
        <v>58</v>
      </c>
      <c r="D80" s="6"/>
      <c r="E80" s="8"/>
      <c r="F80" s="8"/>
      <c r="G80" s="8"/>
      <c r="H80" s="8"/>
      <c r="I80" s="8"/>
      <c r="J80" s="8"/>
      <c r="K80" s="8"/>
      <c r="L80" s="8"/>
      <c r="M80" s="5" t="s">
        <v>296</v>
      </c>
      <c r="N80" s="1" t="s">
        <v>297</v>
      </c>
      <c r="O80" s="1" t="s">
        <v>51</v>
      </c>
      <c r="P80" s="1" t="s">
        <v>51</v>
      </c>
      <c r="Q80" s="1" t="s">
        <v>279</v>
      </c>
      <c r="R80" s="1" t="s">
        <v>61</v>
      </c>
      <c r="S80" s="1" t="s">
        <v>60</v>
      </c>
      <c r="T80" s="1" t="s">
        <v>60</v>
      </c>
      <c r="AR80" s="1" t="s">
        <v>51</v>
      </c>
      <c r="AS80" s="1" t="s">
        <v>51</v>
      </c>
      <c r="AU80" s="1" t="s">
        <v>298</v>
      </c>
      <c r="AV80">
        <v>60</v>
      </c>
    </row>
    <row r="81" spans="1:48" ht="30" customHeight="1" x14ac:dyDescent="0.3">
      <c r="A81" s="5" t="s">
        <v>299</v>
      </c>
      <c r="B81" s="5" t="s">
        <v>300</v>
      </c>
      <c r="C81" s="5" t="s">
        <v>65</v>
      </c>
      <c r="D81" s="6"/>
      <c r="E81" s="8"/>
      <c r="F81" s="8"/>
      <c r="G81" s="8"/>
      <c r="H81" s="8"/>
      <c r="I81" s="8"/>
      <c r="J81" s="8"/>
      <c r="K81" s="8"/>
      <c r="L81" s="8"/>
      <c r="M81" s="5" t="s">
        <v>301</v>
      </c>
      <c r="N81" s="1" t="s">
        <v>302</v>
      </c>
      <c r="O81" s="1" t="s">
        <v>51</v>
      </c>
      <c r="P81" s="1" t="s">
        <v>51</v>
      </c>
      <c r="Q81" s="1" t="s">
        <v>279</v>
      </c>
      <c r="R81" s="1" t="s">
        <v>61</v>
      </c>
      <c r="S81" s="1" t="s">
        <v>60</v>
      </c>
      <c r="T81" s="1" t="s">
        <v>60</v>
      </c>
      <c r="AR81" s="1" t="s">
        <v>51</v>
      </c>
      <c r="AS81" s="1" t="s">
        <v>51</v>
      </c>
      <c r="AU81" s="1" t="s">
        <v>303</v>
      </c>
      <c r="AV81">
        <v>61</v>
      </c>
    </row>
    <row r="82" spans="1:48" ht="30" customHeight="1" x14ac:dyDescent="0.3">
      <c r="A82" s="5" t="s">
        <v>299</v>
      </c>
      <c r="B82" s="5" t="s">
        <v>304</v>
      </c>
      <c r="C82" s="5" t="s">
        <v>65</v>
      </c>
      <c r="D82" s="6"/>
      <c r="E82" s="8"/>
      <c r="F82" s="8"/>
      <c r="G82" s="8"/>
      <c r="H82" s="8"/>
      <c r="I82" s="8"/>
      <c r="J82" s="8"/>
      <c r="K82" s="8"/>
      <c r="L82" s="8"/>
      <c r="M82" s="5" t="s">
        <v>305</v>
      </c>
      <c r="N82" s="1" t="s">
        <v>306</v>
      </c>
      <c r="O82" s="1" t="s">
        <v>51</v>
      </c>
      <c r="P82" s="1" t="s">
        <v>51</v>
      </c>
      <c r="Q82" s="1" t="s">
        <v>279</v>
      </c>
      <c r="R82" s="1" t="s">
        <v>61</v>
      </c>
      <c r="S82" s="1" t="s">
        <v>60</v>
      </c>
      <c r="T82" s="1" t="s">
        <v>60</v>
      </c>
      <c r="AR82" s="1" t="s">
        <v>51</v>
      </c>
      <c r="AS82" s="1" t="s">
        <v>51</v>
      </c>
      <c r="AU82" s="1" t="s">
        <v>307</v>
      </c>
      <c r="AV82">
        <v>62</v>
      </c>
    </row>
    <row r="83" spans="1:48" ht="30" customHeight="1" x14ac:dyDescent="0.3">
      <c r="A83" s="5" t="s">
        <v>308</v>
      </c>
      <c r="B83" s="5" t="s">
        <v>309</v>
      </c>
      <c r="C83" s="5" t="s">
        <v>58</v>
      </c>
      <c r="D83" s="6"/>
      <c r="E83" s="8"/>
      <c r="F83" s="8"/>
      <c r="G83" s="8"/>
      <c r="H83" s="8"/>
      <c r="I83" s="8"/>
      <c r="J83" s="8"/>
      <c r="K83" s="8"/>
      <c r="L83" s="8"/>
      <c r="M83" s="5" t="s">
        <v>310</v>
      </c>
      <c r="N83" s="1" t="s">
        <v>311</v>
      </c>
      <c r="O83" s="1" t="s">
        <v>51</v>
      </c>
      <c r="P83" s="1" t="s">
        <v>51</v>
      </c>
      <c r="Q83" s="1" t="s">
        <v>279</v>
      </c>
      <c r="R83" s="1" t="s">
        <v>61</v>
      </c>
      <c r="S83" s="1" t="s">
        <v>60</v>
      </c>
      <c r="T83" s="1" t="s">
        <v>60</v>
      </c>
      <c r="AR83" s="1" t="s">
        <v>51</v>
      </c>
      <c r="AS83" s="1" t="s">
        <v>51</v>
      </c>
      <c r="AU83" s="1" t="s">
        <v>312</v>
      </c>
      <c r="AV83">
        <v>63</v>
      </c>
    </row>
    <row r="84" spans="1:48" ht="30" customHeight="1" x14ac:dyDescent="0.3">
      <c r="A84" s="5" t="s">
        <v>308</v>
      </c>
      <c r="B84" s="5" t="s">
        <v>313</v>
      </c>
      <c r="C84" s="5" t="s">
        <v>58</v>
      </c>
      <c r="D84" s="6"/>
      <c r="E84" s="8"/>
      <c r="F84" s="8"/>
      <c r="G84" s="8"/>
      <c r="H84" s="8"/>
      <c r="I84" s="8"/>
      <c r="J84" s="8"/>
      <c r="K84" s="8"/>
      <c r="L84" s="8"/>
      <c r="M84" s="5" t="s">
        <v>314</v>
      </c>
      <c r="N84" s="1" t="s">
        <v>315</v>
      </c>
      <c r="O84" s="1" t="s">
        <v>51</v>
      </c>
      <c r="P84" s="1" t="s">
        <v>51</v>
      </c>
      <c r="Q84" s="1" t="s">
        <v>279</v>
      </c>
      <c r="R84" s="1" t="s">
        <v>61</v>
      </c>
      <c r="S84" s="1" t="s">
        <v>60</v>
      </c>
      <c r="T84" s="1" t="s">
        <v>60</v>
      </c>
      <c r="AR84" s="1" t="s">
        <v>51</v>
      </c>
      <c r="AS84" s="1" t="s">
        <v>51</v>
      </c>
      <c r="AU84" s="1" t="s">
        <v>316</v>
      </c>
      <c r="AV84">
        <v>64</v>
      </c>
    </row>
    <row r="85" spans="1:48" ht="30" customHeight="1" x14ac:dyDescent="0.3">
      <c r="A85" s="5" t="s">
        <v>308</v>
      </c>
      <c r="B85" s="5" t="s">
        <v>317</v>
      </c>
      <c r="C85" s="5" t="s">
        <v>58</v>
      </c>
      <c r="D85" s="6"/>
      <c r="E85" s="8"/>
      <c r="F85" s="8"/>
      <c r="G85" s="8"/>
      <c r="H85" s="8"/>
      <c r="I85" s="8"/>
      <c r="J85" s="8"/>
      <c r="K85" s="8"/>
      <c r="L85" s="8"/>
      <c r="M85" s="5" t="s">
        <v>318</v>
      </c>
      <c r="N85" s="1" t="s">
        <v>319</v>
      </c>
      <c r="O85" s="1" t="s">
        <v>51</v>
      </c>
      <c r="P85" s="1" t="s">
        <v>51</v>
      </c>
      <c r="Q85" s="1" t="s">
        <v>279</v>
      </c>
      <c r="R85" s="1" t="s">
        <v>61</v>
      </c>
      <c r="S85" s="1" t="s">
        <v>60</v>
      </c>
      <c r="T85" s="1" t="s">
        <v>60</v>
      </c>
      <c r="AR85" s="1" t="s">
        <v>51</v>
      </c>
      <c r="AS85" s="1" t="s">
        <v>51</v>
      </c>
      <c r="AU85" s="1" t="s">
        <v>320</v>
      </c>
      <c r="AV85">
        <v>65</v>
      </c>
    </row>
    <row r="86" spans="1:48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48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48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48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3">
      <c r="A99" s="5" t="s">
        <v>207</v>
      </c>
      <c r="B99" s="6"/>
      <c r="C99" s="6"/>
      <c r="D99" s="6"/>
      <c r="E99" s="6"/>
      <c r="F99" s="8"/>
      <c r="G99" s="6"/>
      <c r="H99" s="8"/>
      <c r="I99" s="6"/>
      <c r="J99" s="8"/>
      <c r="K99" s="6"/>
      <c r="L99" s="8"/>
      <c r="M99" s="6"/>
      <c r="N99" t="s">
        <v>208</v>
      </c>
    </row>
    <row r="100" spans="1:48" ht="30" customHeight="1" x14ac:dyDescent="0.3">
      <c r="A100" s="5" t="s">
        <v>2302</v>
      </c>
      <c r="B100" s="5" t="s">
        <v>51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Q100" s="1" t="s">
        <v>321</v>
      </c>
    </row>
    <row r="101" spans="1:48" ht="30" customHeight="1" x14ac:dyDescent="0.3">
      <c r="A101" s="5" t="s">
        <v>280</v>
      </c>
      <c r="B101" s="5" t="s">
        <v>281</v>
      </c>
      <c r="C101" s="5" t="s">
        <v>58</v>
      </c>
      <c r="D101" s="6"/>
      <c r="E101" s="8"/>
      <c r="F101" s="8"/>
      <c r="G101" s="8"/>
      <c r="H101" s="8"/>
      <c r="I101" s="8"/>
      <c r="J101" s="8"/>
      <c r="K101" s="8"/>
      <c r="L101" s="8"/>
      <c r="M101" s="5" t="s">
        <v>51</v>
      </c>
      <c r="N101" s="1" t="s">
        <v>282</v>
      </c>
      <c r="O101" s="1" t="s">
        <v>51</v>
      </c>
      <c r="P101" s="1" t="s">
        <v>51</v>
      </c>
      <c r="Q101" s="1" t="s">
        <v>321</v>
      </c>
      <c r="R101" s="1" t="s">
        <v>60</v>
      </c>
      <c r="S101" s="1" t="s">
        <v>60</v>
      </c>
      <c r="T101" s="1" t="s">
        <v>61</v>
      </c>
      <c r="AR101" s="1" t="s">
        <v>51</v>
      </c>
      <c r="AS101" s="1" t="s">
        <v>51</v>
      </c>
      <c r="AU101" s="1" t="s">
        <v>322</v>
      </c>
      <c r="AV101">
        <v>67</v>
      </c>
    </row>
    <row r="102" spans="1:48" ht="30" customHeight="1" x14ac:dyDescent="0.3">
      <c r="A102" s="5" t="s">
        <v>284</v>
      </c>
      <c r="B102" s="5" t="s">
        <v>285</v>
      </c>
      <c r="C102" s="5" t="s">
        <v>65</v>
      </c>
      <c r="D102" s="6"/>
      <c r="E102" s="8"/>
      <c r="F102" s="8"/>
      <c r="G102" s="8"/>
      <c r="H102" s="8"/>
      <c r="I102" s="8"/>
      <c r="J102" s="8"/>
      <c r="K102" s="8"/>
      <c r="L102" s="8"/>
      <c r="M102" s="5" t="s">
        <v>286</v>
      </c>
      <c r="N102" s="1" t="s">
        <v>287</v>
      </c>
      <c r="O102" s="1" t="s">
        <v>51</v>
      </c>
      <c r="P102" s="1" t="s">
        <v>51</v>
      </c>
      <c r="Q102" s="1" t="s">
        <v>321</v>
      </c>
      <c r="R102" s="1" t="s">
        <v>61</v>
      </c>
      <c r="S102" s="1" t="s">
        <v>60</v>
      </c>
      <c r="T102" s="1" t="s">
        <v>60</v>
      </c>
      <c r="AR102" s="1" t="s">
        <v>51</v>
      </c>
      <c r="AS102" s="1" t="s">
        <v>51</v>
      </c>
      <c r="AU102" s="1" t="s">
        <v>323</v>
      </c>
      <c r="AV102">
        <v>68</v>
      </c>
    </row>
    <row r="103" spans="1:48" ht="30" customHeight="1" x14ac:dyDescent="0.3">
      <c r="A103" s="5" t="s">
        <v>294</v>
      </c>
      <c r="B103" s="5" t="s">
        <v>295</v>
      </c>
      <c r="C103" s="5" t="s">
        <v>58</v>
      </c>
      <c r="D103" s="6"/>
      <c r="E103" s="8"/>
      <c r="F103" s="8"/>
      <c r="G103" s="8"/>
      <c r="H103" s="8"/>
      <c r="I103" s="8"/>
      <c r="J103" s="8"/>
      <c r="K103" s="8"/>
      <c r="L103" s="8"/>
      <c r="M103" s="5" t="s">
        <v>296</v>
      </c>
      <c r="N103" s="1" t="s">
        <v>297</v>
      </c>
      <c r="O103" s="1" t="s">
        <v>51</v>
      </c>
      <c r="P103" s="1" t="s">
        <v>51</v>
      </c>
      <c r="Q103" s="1" t="s">
        <v>321</v>
      </c>
      <c r="R103" s="1" t="s">
        <v>61</v>
      </c>
      <c r="S103" s="1" t="s">
        <v>60</v>
      </c>
      <c r="T103" s="1" t="s">
        <v>60</v>
      </c>
      <c r="AR103" s="1" t="s">
        <v>51</v>
      </c>
      <c r="AS103" s="1" t="s">
        <v>51</v>
      </c>
      <c r="AU103" s="1" t="s">
        <v>324</v>
      </c>
      <c r="AV103">
        <v>69</v>
      </c>
    </row>
    <row r="104" spans="1:48" ht="30" customHeight="1" x14ac:dyDescent="0.3">
      <c r="A104" s="5" t="s">
        <v>160</v>
      </c>
      <c r="B104" s="5" t="s">
        <v>325</v>
      </c>
      <c r="C104" s="5" t="s">
        <v>58</v>
      </c>
      <c r="D104" s="6"/>
      <c r="E104" s="8"/>
      <c r="F104" s="8"/>
      <c r="G104" s="8"/>
      <c r="H104" s="8"/>
      <c r="I104" s="8"/>
      <c r="J104" s="8"/>
      <c r="K104" s="8"/>
      <c r="L104" s="8"/>
      <c r="M104" s="5" t="s">
        <v>326</v>
      </c>
      <c r="N104" s="1" t="s">
        <v>327</v>
      </c>
      <c r="O104" s="1" t="s">
        <v>51</v>
      </c>
      <c r="P104" s="1" t="s">
        <v>51</v>
      </c>
      <c r="Q104" s="1" t="s">
        <v>321</v>
      </c>
      <c r="R104" s="1" t="s">
        <v>61</v>
      </c>
      <c r="S104" s="1" t="s">
        <v>60</v>
      </c>
      <c r="T104" s="1" t="s">
        <v>60</v>
      </c>
      <c r="AR104" s="1" t="s">
        <v>51</v>
      </c>
      <c r="AS104" s="1" t="s">
        <v>51</v>
      </c>
      <c r="AU104" s="1" t="s">
        <v>328</v>
      </c>
      <c r="AV104">
        <v>70</v>
      </c>
    </row>
    <row r="105" spans="1:48" ht="30" customHeight="1" x14ac:dyDescent="0.3">
      <c r="A105" s="5" t="s">
        <v>299</v>
      </c>
      <c r="B105" s="5" t="s">
        <v>300</v>
      </c>
      <c r="C105" s="5" t="s">
        <v>65</v>
      </c>
      <c r="D105" s="6"/>
      <c r="E105" s="8"/>
      <c r="F105" s="8"/>
      <c r="G105" s="8"/>
      <c r="H105" s="8"/>
      <c r="I105" s="8"/>
      <c r="J105" s="8"/>
      <c r="K105" s="8"/>
      <c r="L105" s="8"/>
      <c r="M105" s="5" t="s">
        <v>301</v>
      </c>
      <c r="N105" s="1" t="s">
        <v>302</v>
      </c>
      <c r="O105" s="1" t="s">
        <v>51</v>
      </c>
      <c r="P105" s="1" t="s">
        <v>51</v>
      </c>
      <c r="Q105" s="1" t="s">
        <v>321</v>
      </c>
      <c r="R105" s="1" t="s">
        <v>61</v>
      </c>
      <c r="S105" s="1" t="s">
        <v>60</v>
      </c>
      <c r="T105" s="1" t="s">
        <v>60</v>
      </c>
      <c r="AR105" s="1" t="s">
        <v>51</v>
      </c>
      <c r="AS105" s="1" t="s">
        <v>51</v>
      </c>
      <c r="AU105" s="1" t="s">
        <v>329</v>
      </c>
      <c r="AV105">
        <v>71</v>
      </c>
    </row>
    <row r="106" spans="1:48" ht="30" customHeight="1" x14ac:dyDescent="0.3">
      <c r="A106" s="5" t="s">
        <v>299</v>
      </c>
      <c r="B106" s="5" t="s">
        <v>304</v>
      </c>
      <c r="C106" s="5" t="s">
        <v>65</v>
      </c>
      <c r="D106" s="6"/>
      <c r="E106" s="8"/>
      <c r="F106" s="8"/>
      <c r="G106" s="8"/>
      <c r="H106" s="8"/>
      <c r="I106" s="8"/>
      <c r="J106" s="8"/>
      <c r="K106" s="8"/>
      <c r="L106" s="8"/>
      <c r="M106" s="5" t="s">
        <v>305</v>
      </c>
      <c r="N106" s="1" t="s">
        <v>306</v>
      </c>
      <c r="O106" s="1" t="s">
        <v>51</v>
      </c>
      <c r="P106" s="1" t="s">
        <v>51</v>
      </c>
      <c r="Q106" s="1" t="s">
        <v>321</v>
      </c>
      <c r="R106" s="1" t="s">
        <v>61</v>
      </c>
      <c r="S106" s="1" t="s">
        <v>60</v>
      </c>
      <c r="T106" s="1" t="s">
        <v>60</v>
      </c>
      <c r="AR106" s="1" t="s">
        <v>51</v>
      </c>
      <c r="AS106" s="1" t="s">
        <v>51</v>
      </c>
      <c r="AU106" s="1" t="s">
        <v>330</v>
      </c>
      <c r="AV106">
        <v>72</v>
      </c>
    </row>
    <row r="107" spans="1:48" ht="30" customHeight="1" x14ac:dyDescent="0.3">
      <c r="A107" s="5" t="s">
        <v>308</v>
      </c>
      <c r="B107" s="5" t="s">
        <v>309</v>
      </c>
      <c r="C107" s="5" t="s">
        <v>58</v>
      </c>
      <c r="D107" s="6"/>
      <c r="E107" s="8"/>
      <c r="F107" s="8"/>
      <c r="G107" s="8"/>
      <c r="H107" s="8"/>
      <c r="I107" s="8"/>
      <c r="J107" s="8"/>
      <c r="K107" s="8"/>
      <c r="L107" s="8"/>
      <c r="M107" s="5" t="s">
        <v>310</v>
      </c>
      <c r="N107" s="1" t="s">
        <v>311</v>
      </c>
      <c r="O107" s="1" t="s">
        <v>51</v>
      </c>
      <c r="P107" s="1" t="s">
        <v>51</v>
      </c>
      <c r="Q107" s="1" t="s">
        <v>321</v>
      </c>
      <c r="R107" s="1" t="s">
        <v>61</v>
      </c>
      <c r="S107" s="1" t="s">
        <v>60</v>
      </c>
      <c r="T107" s="1" t="s">
        <v>60</v>
      </c>
      <c r="AR107" s="1" t="s">
        <v>51</v>
      </c>
      <c r="AS107" s="1" t="s">
        <v>51</v>
      </c>
      <c r="AU107" s="1" t="s">
        <v>331</v>
      </c>
      <c r="AV107">
        <v>73</v>
      </c>
    </row>
    <row r="108" spans="1:48" ht="30" customHeight="1" x14ac:dyDescent="0.3">
      <c r="A108" s="5" t="s">
        <v>308</v>
      </c>
      <c r="B108" s="5" t="s">
        <v>317</v>
      </c>
      <c r="C108" s="5" t="s">
        <v>58</v>
      </c>
      <c r="D108" s="6"/>
      <c r="E108" s="8"/>
      <c r="F108" s="8"/>
      <c r="G108" s="8"/>
      <c r="H108" s="8"/>
      <c r="I108" s="8"/>
      <c r="J108" s="8"/>
      <c r="K108" s="8"/>
      <c r="L108" s="8"/>
      <c r="M108" s="5" t="s">
        <v>318</v>
      </c>
      <c r="N108" s="1" t="s">
        <v>319</v>
      </c>
      <c r="O108" s="1" t="s">
        <v>51</v>
      </c>
      <c r="P108" s="1" t="s">
        <v>51</v>
      </c>
      <c r="Q108" s="1" t="s">
        <v>321</v>
      </c>
      <c r="R108" s="1" t="s">
        <v>61</v>
      </c>
      <c r="S108" s="1" t="s">
        <v>60</v>
      </c>
      <c r="T108" s="1" t="s">
        <v>60</v>
      </c>
      <c r="AR108" s="1" t="s">
        <v>51</v>
      </c>
      <c r="AS108" s="1" t="s">
        <v>51</v>
      </c>
      <c r="AU108" s="1" t="s">
        <v>332</v>
      </c>
      <c r="AV108">
        <v>74</v>
      </c>
    </row>
    <row r="109" spans="1:48" ht="30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5" t="s">
        <v>207</v>
      </c>
      <c r="B123" s="6"/>
      <c r="C123" s="6"/>
      <c r="D123" s="6"/>
      <c r="E123" s="6"/>
      <c r="F123" s="8"/>
      <c r="G123" s="6"/>
      <c r="H123" s="8"/>
      <c r="I123" s="6"/>
      <c r="J123" s="8"/>
      <c r="K123" s="6"/>
      <c r="L123" s="8"/>
      <c r="M123" s="6"/>
      <c r="N123" t="s">
        <v>208</v>
      </c>
    </row>
    <row r="124" spans="1:48" ht="30" customHeight="1" x14ac:dyDescent="0.3">
      <c r="A124" s="5" t="s">
        <v>2303</v>
      </c>
      <c r="B124" s="5" t="s">
        <v>51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Q124" s="1" t="s">
        <v>333</v>
      </c>
    </row>
    <row r="125" spans="1:48" ht="30" customHeight="1" x14ac:dyDescent="0.3">
      <c r="A125" s="5" t="s">
        <v>280</v>
      </c>
      <c r="B125" s="5" t="s">
        <v>281</v>
      </c>
      <c r="C125" s="5" t="s">
        <v>58</v>
      </c>
      <c r="D125" s="6"/>
      <c r="E125" s="8"/>
      <c r="F125" s="8"/>
      <c r="G125" s="8"/>
      <c r="H125" s="8"/>
      <c r="I125" s="8"/>
      <c r="J125" s="8"/>
      <c r="K125" s="8"/>
      <c r="L125" s="8"/>
      <c r="M125" s="5" t="s">
        <v>51</v>
      </c>
      <c r="N125" s="1" t="s">
        <v>282</v>
      </c>
      <c r="O125" s="1" t="s">
        <v>51</v>
      </c>
      <c r="P125" s="1" t="s">
        <v>51</v>
      </c>
      <c r="Q125" s="1" t="s">
        <v>333</v>
      </c>
      <c r="R125" s="1" t="s">
        <v>60</v>
      </c>
      <c r="S125" s="1" t="s">
        <v>60</v>
      </c>
      <c r="T125" s="1" t="s">
        <v>61</v>
      </c>
      <c r="AR125" s="1" t="s">
        <v>51</v>
      </c>
      <c r="AS125" s="1" t="s">
        <v>51</v>
      </c>
      <c r="AU125" s="1" t="s">
        <v>334</v>
      </c>
      <c r="AV125">
        <v>76</v>
      </c>
    </row>
    <row r="126" spans="1:48" ht="30" customHeight="1" x14ac:dyDescent="0.3">
      <c r="A126" s="5" t="s">
        <v>284</v>
      </c>
      <c r="B126" s="5" t="s">
        <v>285</v>
      </c>
      <c r="C126" s="5" t="s">
        <v>65</v>
      </c>
      <c r="D126" s="6"/>
      <c r="E126" s="8"/>
      <c r="F126" s="8"/>
      <c r="G126" s="8"/>
      <c r="H126" s="8"/>
      <c r="I126" s="8"/>
      <c r="J126" s="8"/>
      <c r="K126" s="8"/>
      <c r="L126" s="8"/>
      <c r="M126" s="5" t="s">
        <v>286</v>
      </c>
      <c r="N126" s="1" t="s">
        <v>287</v>
      </c>
      <c r="O126" s="1" t="s">
        <v>51</v>
      </c>
      <c r="P126" s="1" t="s">
        <v>51</v>
      </c>
      <c r="Q126" s="1" t="s">
        <v>333</v>
      </c>
      <c r="R126" s="1" t="s">
        <v>61</v>
      </c>
      <c r="S126" s="1" t="s">
        <v>60</v>
      </c>
      <c r="T126" s="1" t="s">
        <v>60</v>
      </c>
      <c r="AR126" s="1" t="s">
        <v>51</v>
      </c>
      <c r="AS126" s="1" t="s">
        <v>51</v>
      </c>
      <c r="AU126" s="1" t="s">
        <v>335</v>
      </c>
      <c r="AV126">
        <v>77</v>
      </c>
    </row>
    <row r="127" spans="1:48" ht="30" customHeight="1" x14ac:dyDescent="0.3">
      <c r="A127" s="5" t="s">
        <v>289</v>
      </c>
      <c r="B127" s="5" t="s">
        <v>290</v>
      </c>
      <c r="C127" s="5" t="s">
        <v>58</v>
      </c>
      <c r="D127" s="6"/>
      <c r="E127" s="8"/>
      <c r="F127" s="8"/>
      <c r="G127" s="8"/>
      <c r="H127" s="8"/>
      <c r="I127" s="8"/>
      <c r="J127" s="8"/>
      <c r="K127" s="8"/>
      <c r="L127" s="8"/>
      <c r="M127" s="5" t="s">
        <v>291</v>
      </c>
      <c r="N127" s="1" t="s">
        <v>292</v>
      </c>
      <c r="O127" s="1" t="s">
        <v>51</v>
      </c>
      <c r="P127" s="1" t="s">
        <v>51</v>
      </c>
      <c r="Q127" s="1" t="s">
        <v>333</v>
      </c>
      <c r="R127" s="1" t="s">
        <v>61</v>
      </c>
      <c r="S127" s="1" t="s">
        <v>60</v>
      </c>
      <c r="T127" s="1" t="s">
        <v>60</v>
      </c>
      <c r="AR127" s="1" t="s">
        <v>51</v>
      </c>
      <c r="AS127" s="1" t="s">
        <v>51</v>
      </c>
      <c r="AU127" s="1" t="s">
        <v>336</v>
      </c>
      <c r="AV127">
        <v>78</v>
      </c>
    </row>
    <row r="128" spans="1:48" ht="30" customHeight="1" x14ac:dyDescent="0.3">
      <c r="A128" s="5" t="s">
        <v>294</v>
      </c>
      <c r="B128" s="5" t="s">
        <v>295</v>
      </c>
      <c r="C128" s="5" t="s">
        <v>58</v>
      </c>
      <c r="D128" s="6"/>
      <c r="E128" s="8"/>
      <c r="F128" s="8"/>
      <c r="G128" s="8"/>
      <c r="H128" s="8"/>
      <c r="I128" s="8"/>
      <c r="J128" s="8"/>
      <c r="K128" s="8"/>
      <c r="L128" s="8"/>
      <c r="M128" s="5" t="s">
        <v>296</v>
      </c>
      <c r="N128" s="1" t="s">
        <v>297</v>
      </c>
      <c r="O128" s="1" t="s">
        <v>51</v>
      </c>
      <c r="P128" s="1" t="s">
        <v>51</v>
      </c>
      <c r="Q128" s="1" t="s">
        <v>333</v>
      </c>
      <c r="R128" s="1" t="s">
        <v>61</v>
      </c>
      <c r="S128" s="1" t="s">
        <v>60</v>
      </c>
      <c r="T128" s="1" t="s">
        <v>60</v>
      </c>
      <c r="AR128" s="1" t="s">
        <v>51</v>
      </c>
      <c r="AS128" s="1" t="s">
        <v>51</v>
      </c>
      <c r="AU128" s="1" t="s">
        <v>337</v>
      </c>
      <c r="AV128">
        <v>79</v>
      </c>
    </row>
    <row r="129" spans="1:48" ht="30" customHeight="1" x14ac:dyDescent="0.3">
      <c r="A129" s="5" t="s">
        <v>338</v>
      </c>
      <c r="B129" s="5" t="s">
        <v>339</v>
      </c>
      <c r="C129" s="5" t="s">
        <v>58</v>
      </c>
      <c r="D129" s="6"/>
      <c r="E129" s="8"/>
      <c r="F129" s="8"/>
      <c r="G129" s="8"/>
      <c r="H129" s="8"/>
      <c r="I129" s="8"/>
      <c r="J129" s="8"/>
      <c r="K129" s="8"/>
      <c r="L129" s="8"/>
      <c r="M129" s="5" t="s">
        <v>340</v>
      </c>
      <c r="N129" s="1" t="s">
        <v>341</v>
      </c>
      <c r="O129" s="1" t="s">
        <v>51</v>
      </c>
      <c r="P129" s="1" t="s">
        <v>51</v>
      </c>
      <c r="Q129" s="1" t="s">
        <v>333</v>
      </c>
      <c r="R129" s="1" t="s">
        <v>61</v>
      </c>
      <c r="S129" s="1" t="s">
        <v>60</v>
      </c>
      <c r="T129" s="1" t="s">
        <v>60</v>
      </c>
      <c r="AR129" s="1" t="s">
        <v>51</v>
      </c>
      <c r="AS129" s="1" t="s">
        <v>51</v>
      </c>
      <c r="AU129" s="1" t="s">
        <v>342</v>
      </c>
      <c r="AV129">
        <v>80</v>
      </c>
    </row>
    <row r="130" spans="1:48" ht="30" customHeight="1" x14ac:dyDescent="0.3">
      <c r="A130" s="5" t="s">
        <v>299</v>
      </c>
      <c r="B130" s="5" t="s">
        <v>300</v>
      </c>
      <c r="C130" s="5" t="s">
        <v>65</v>
      </c>
      <c r="D130" s="6"/>
      <c r="E130" s="8"/>
      <c r="F130" s="8"/>
      <c r="G130" s="8"/>
      <c r="H130" s="8"/>
      <c r="I130" s="8"/>
      <c r="J130" s="8"/>
      <c r="K130" s="8"/>
      <c r="L130" s="8"/>
      <c r="M130" s="5" t="s">
        <v>301</v>
      </c>
      <c r="N130" s="1" t="s">
        <v>302</v>
      </c>
      <c r="O130" s="1" t="s">
        <v>51</v>
      </c>
      <c r="P130" s="1" t="s">
        <v>51</v>
      </c>
      <c r="Q130" s="1" t="s">
        <v>333</v>
      </c>
      <c r="R130" s="1" t="s">
        <v>61</v>
      </c>
      <c r="S130" s="1" t="s">
        <v>60</v>
      </c>
      <c r="T130" s="1" t="s">
        <v>60</v>
      </c>
      <c r="AR130" s="1" t="s">
        <v>51</v>
      </c>
      <c r="AS130" s="1" t="s">
        <v>51</v>
      </c>
      <c r="AU130" s="1" t="s">
        <v>343</v>
      </c>
      <c r="AV130">
        <v>81</v>
      </c>
    </row>
    <row r="131" spans="1:48" ht="30" customHeight="1" x14ac:dyDescent="0.3">
      <c r="A131" s="5" t="s">
        <v>299</v>
      </c>
      <c r="B131" s="5" t="s">
        <v>304</v>
      </c>
      <c r="C131" s="5" t="s">
        <v>65</v>
      </c>
      <c r="D131" s="6"/>
      <c r="E131" s="8"/>
      <c r="F131" s="8"/>
      <c r="G131" s="8"/>
      <c r="H131" s="8"/>
      <c r="I131" s="8"/>
      <c r="J131" s="8"/>
      <c r="K131" s="8"/>
      <c r="L131" s="8"/>
      <c r="M131" s="5" t="s">
        <v>305</v>
      </c>
      <c r="N131" s="1" t="s">
        <v>306</v>
      </c>
      <c r="O131" s="1" t="s">
        <v>51</v>
      </c>
      <c r="P131" s="1" t="s">
        <v>51</v>
      </c>
      <c r="Q131" s="1" t="s">
        <v>333</v>
      </c>
      <c r="R131" s="1" t="s">
        <v>61</v>
      </c>
      <c r="S131" s="1" t="s">
        <v>60</v>
      </c>
      <c r="T131" s="1" t="s">
        <v>60</v>
      </c>
      <c r="AR131" s="1" t="s">
        <v>51</v>
      </c>
      <c r="AS131" s="1" t="s">
        <v>51</v>
      </c>
      <c r="AU131" s="1" t="s">
        <v>344</v>
      </c>
      <c r="AV131">
        <v>82</v>
      </c>
    </row>
    <row r="132" spans="1:48" ht="30" customHeight="1" x14ac:dyDescent="0.3">
      <c r="A132" s="5" t="s">
        <v>308</v>
      </c>
      <c r="B132" s="5" t="s">
        <v>309</v>
      </c>
      <c r="C132" s="5" t="s">
        <v>58</v>
      </c>
      <c r="D132" s="6"/>
      <c r="E132" s="8"/>
      <c r="F132" s="8"/>
      <c r="G132" s="8"/>
      <c r="H132" s="8"/>
      <c r="I132" s="8"/>
      <c r="J132" s="8"/>
      <c r="K132" s="8"/>
      <c r="L132" s="8"/>
      <c r="M132" s="5" t="s">
        <v>310</v>
      </c>
      <c r="N132" s="1" t="s">
        <v>311</v>
      </c>
      <c r="O132" s="1" t="s">
        <v>51</v>
      </c>
      <c r="P132" s="1" t="s">
        <v>51</v>
      </c>
      <c r="Q132" s="1" t="s">
        <v>333</v>
      </c>
      <c r="R132" s="1" t="s">
        <v>61</v>
      </c>
      <c r="S132" s="1" t="s">
        <v>60</v>
      </c>
      <c r="T132" s="1" t="s">
        <v>60</v>
      </c>
      <c r="AR132" s="1" t="s">
        <v>51</v>
      </c>
      <c r="AS132" s="1" t="s">
        <v>51</v>
      </c>
      <c r="AU132" s="1" t="s">
        <v>345</v>
      </c>
      <c r="AV132">
        <v>83</v>
      </c>
    </row>
    <row r="133" spans="1:48" ht="30" customHeight="1" x14ac:dyDescent="0.3">
      <c r="A133" s="5" t="s">
        <v>308</v>
      </c>
      <c r="B133" s="5" t="s">
        <v>313</v>
      </c>
      <c r="C133" s="5" t="s">
        <v>58</v>
      </c>
      <c r="D133" s="6"/>
      <c r="E133" s="8"/>
      <c r="F133" s="8"/>
      <c r="G133" s="8"/>
      <c r="H133" s="8"/>
      <c r="I133" s="8"/>
      <c r="J133" s="8"/>
      <c r="K133" s="8"/>
      <c r="L133" s="8"/>
      <c r="M133" s="5" t="s">
        <v>314</v>
      </c>
      <c r="N133" s="1" t="s">
        <v>315</v>
      </c>
      <c r="O133" s="1" t="s">
        <v>51</v>
      </c>
      <c r="P133" s="1" t="s">
        <v>51</v>
      </c>
      <c r="Q133" s="1" t="s">
        <v>333</v>
      </c>
      <c r="R133" s="1" t="s">
        <v>61</v>
      </c>
      <c r="S133" s="1" t="s">
        <v>60</v>
      </c>
      <c r="T133" s="1" t="s">
        <v>60</v>
      </c>
      <c r="AR133" s="1" t="s">
        <v>51</v>
      </c>
      <c r="AS133" s="1" t="s">
        <v>51</v>
      </c>
      <c r="AU133" s="1" t="s">
        <v>346</v>
      </c>
      <c r="AV133">
        <v>84</v>
      </c>
    </row>
    <row r="134" spans="1:48" ht="30" customHeight="1" x14ac:dyDescent="0.3">
      <c r="A134" s="5" t="s">
        <v>308</v>
      </c>
      <c r="B134" s="5" t="s">
        <v>317</v>
      </c>
      <c r="C134" s="5" t="s">
        <v>58</v>
      </c>
      <c r="D134" s="6"/>
      <c r="E134" s="8"/>
      <c r="F134" s="8"/>
      <c r="G134" s="8"/>
      <c r="H134" s="8"/>
      <c r="I134" s="8"/>
      <c r="J134" s="8"/>
      <c r="K134" s="8"/>
      <c r="L134" s="8"/>
      <c r="M134" s="5" t="s">
        <v>318</v>
      </c>
      <c r="N134" s="1" t="s">
        <v>319</v>
      </c>
      <c r="O134" s="1" t="s">
        <v>51</v>
      </c>
      <c r="P134" s="1" t="s">
        <v>51</v>
      </c>
      <c r="Q134" s="1" t="s">
        <v>333</v>
      </c>
      <c r="R134" s="1" t="s">
        <v>61</v>
      </c>
      <c r="S134" s="1" t="s">
        <v>60</v>
      </c>
      <c r="T134" s="1" t="s">
        <v>60</v>
      </c>
      <c r="AR134" s="1" t="s">
        <v>51</v>
      </c>
      <c r="AS134" s="1" t="s">
        <v>51</v>
      </c>
      <c r="AU134" s="1" t="s">
        <v>347</v>
      </c>
      <c r="AV134">
        <v>85</v>
      </c>
    </row>
    <row r="135" spans="1:48" ht="30" customHeight="1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48" ht="30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 x14ac:dyDescent="0.3">
      <c r="A147" s="5" t="s">
        <v>207</v>
      </c>
      <c r="B147" s="6"/>
      <c r="C147" s="6"/>
      <c r="D147" s="6"/>
      <c r="E147" s="6"/>
      <c r="F147" s="8"/>
      <c r="G147" s="6"/>
      <c r="H147" s="8"/>
      <c r="I147" s="6"/>
      <c r="J147" s="8"/>
      <c r="K147" s="6"/>
      <c r="L147" s="8"/>
      <c r="M147" s="6"/>
      <c r="N147" t="s">
        <v>208</v>
      </c>
    </row>
    <row r="148" spans="1:48" ht="30" customHeight="1" x14ac:dyDescent="0.3">
      <c r="A148" s="5" t="s">
        <v>2305</v>
      </c>
      <c r="B148" s="5" t="s">
        <v>51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Q148" s="1" t="s">
        <v>349</v>
      </c>
    </row>
    <row r="149" spans="1:48" ht="30" customHeight="1" x14ac:dyDescent="0.3">
      <c r="A149" s="5" t="s">
        <v>280</v>
      </c>
      <c r="B149" s="5" t="s">
        <v>350</v>
      </c>
      <c r="C149" s="5" t="s">
        <v>58</v>
      </c>
      <c r="D149" s="6"/>
      <c r="E149" s="8"/>
      <c r="F149" s="8"/>
      <c r="G149" s="8"/>
      <c r="H149" s="8"/>
      <c r="I149" s="8"/>
      <c r="J149" s="8"/>
      <c r="K149" s="8"/>
      <c r="L149" s="8"/>
      <c r="M149" s="5" t="s">
        <v>51</v>
      </c>
      <c r="N149" s="1" t="s">
        <v>351</v>
      </c>
      <c r="O149" s="1" t="s">
        <v>51</v>
      </c>
      <c r="P149" s="1" t="s">
        <v>51</v>
      </c>
      <c r="Q149" s="1" t="s">
        <v>349</v>
      </c>
      <c r="R149" s="1" t="s">
        <v>60</v>
      </c>
      <c r="S149" s="1" t="s">
        <v>60</v>
      </c>
      <c r="T149" s="1" t="s">
        <v>61</v>
      </c>
      <c r="AR149" s="1" t="s">
        <v>51</v>
      </c>
      <c r="AS149" s="1" t="s">
        <v>51</v>
      </c>
      <c r="AU149" s="1" t="s">
        <v>352</v>
      </c>
      <c r="AV149">
        <v>88</v>
      </c>
    </row>
    <row r="150" spans="1:48" ht="30" customHeight="1" x14ac:dyDescent="0.3">
      <c r="A150" s="5" t="s">
        <v>353</v>
      </c>
      <c r="B150" s="5" t="s">
        <v>354</v>
      </c>
      <c r="C150" s="5" t="s">
        <v>58</v>
      </c>
      <c r="D150" s="6"/>
      <c r="E150" s="8"/>
      <c r="F150" s="8"/>
      <c r="G150" s="8"/>
      <c r="H150" s="8"/>
      <c r="I150" s="8"/>
      <c r="J150" s="8"/>
      <c r="K150" s="8"/>
      <c r="L150" s="8"/>
      <c r="M150" s="5" t="s">
        <v>51</v>
      </c>
      <c r="N150" s="1" t="s">
        <v>355</v>
      </c>
      <c r="O150" s="1" t="s">
        <v>51</v>
      </c>
      <c r="P150" s="1" t="s">
        <v>51</v>
      </c>
      <c r="Q150" s="1" t="s">
        <v>349</v>
      </c>
      <c r="R150" s="1" t="s">
        <v>60</v>
      </c>
      <c r="S150" s="1" t="s">
        <v>60</v>
      </c>
      <c r="T150" s="1" t="s">
        <v>61</v>
      </c>
      <c r="AR150" s="1" t="s">
        <v>51</v>
      </c>
      <c r="AS150" s="1" t="s">
        <v>51</v>
      </c>
      <c r="AU150" s="1" t="s">
        <v>356</v>
      </c>
      <c r="AV150">
        <v>89</v>
      </c>
    </row>
    <row r="151" spans="1:48" ht="30" customHeight="1" x14ac:dyDescent="0.3">
      <c r="A151" s="5" t="s">
        <v>357</v>
      </c>
      <c r="B151" s="5" t="s">
        <v>358</v>
      </c>
      <c r="C151" s="5" t="s">
        <v>65</v>
      </c>
      <c r="D151" s="6"/>
      <c r="E151" s="8"/>
      <c r="F151" s="8"/>
      <c r="G151" s="8"/>
      <c r="H151" s="8"/>
      <c r="I151" s="8"/>
      <c r="J151" s="8"/>
      <c r="K151" s="8"/>
      <c r="L151" s="8"/>
      <c r="M151" s="5" t="s">
        <v>359</v>
      </c>
      <c r="N151" s="1" t="s">
        <v>360</v>
      </c>
      <c r="O151" s="1" t="s">
        <v>51</v>
      </c>
      <c r="P151" s="1" t="s">
        <v>51</v>
      </c>
      <c r="Q151" s="1" t="s">
        <v>349</v>
      </c>
      <c r="R151" s="1" t="s">
        <v>61</v>
      </c>
      <c r="S151" s="1" t="s">
        <v>60</v>
      </c>
      <c r="T151" s="1" t="s">
        <v>60</v>
      </c>
      <c r="AR151" s="1" t="s">
        <v>51</v>
      </c>
      <c r="AS151" s="1" t="s">
        <v>51</v>
      </c>
      <c r="AU151" s="1" t="s">
        <v>361</v>
      </c>
      <c r="AV151">
        <v>90</v>
      </c>
    </row>
    <row r="152" spans="1:48" ht="30" customHeight="1" x14ac:dyDescent="0.3">
      <c r="A152" s="5" t="s">
        <v>284</v>
      </c>
      <c r="B152" s="5" t="s">
        <v>285</v>
      </c>
      <c r="C152" s="5" t="s">
        <v>65</v>
      </c>
      <c r="D152" s="6"/>
      <c r="E152" s="8"/>
      <c r="F152" s="8"/>
      <c r="G152" s="8"/>
      <c r="H152" s="8"/>
      <c r="I152" s="8"/>
      <c r="J152" s="8"/>
      <c r="K152" s="8"/>
      <c r="L152" s="8"/>
      <c r="M152" s="5" t="s">
        <v>286</v>
      </c>
      <c r="N152" s="1" t="s">
        <v>287</v>
      </c>
      <c r="O152" s="1" t="s">
        <v>51</v>
      </c>
      <c r="P152" s="1" t="s">
        <v>51</v>
      </c>
      <c r="Q152" s="1" t="s">
        <v>349</v>
      </c>
      <c r="R152" s="1" t="s">
        <v>61</v>
      </c>
      <c r="S152" s="1" t="s">
        <v>60</v>
      </c>
      <c r="T152" s="1" t="s">
        <v>60</v>
      </c>
      <c r="AR152" s="1" t="s">
        <v>51</v>
      </c>
      <c r="AS152" s="1" t="s">
        <v>51</v>
      </c>
      <c r="AU152" s="1" t="s">
        <v>362</v>
      </c>
      <c r="AV152">
        <v>91</v>
      </c>
    </row>
    <row r="153" spans="1:48" ht="30" customHeight="1" x14ac:dyDescent="0.3">
      <c r="A153" s="5" t="s">
        <v>284</v>
      </c>
      <c r="B153" s="5" t="s">
        <v>363</v>
      </c>
      <c r="C153" s="5" t="s">
        <v>65</v>
      </c>
      <c r="D153" s="6"/>
      <c r="E153" s="8"/>
      <c r="F153" s="8"/>
      <c r="G153" s="8"/>
      <c r="H153" s="8"/>
      <c r="I153" s="8"/>
      <c r="J153" s="8"/>
      <c r="K153" s="8"/>
      <c r="L153" s="8"/>
      <c r="M153" s="5" t="s">
        <v>364</v>
      </c>
      <c r="N153" s="1" t="s">
        <v>365</v>
      </c>
      <c r="O153" s="1" t="s">
        <v>51</v>
      </c>
      <c r="P153" s="1" t="s">
        <v>51</v>
      </c>
      <c r="Q153" s="1" t="s">
        <v>349</v>
      </c>
      <c r="R153" s="1" t="s">
        <v>61</v>
      </c>
      <c r="S153" s="1" t="s">
        <v>60</v>
      </c>
      <c r="T153" s="1" t="s">
        <v>60</v>
      </c>
      <c r="AR153" s="1" t="s">
        <v>51</v>
      </c>
      <c r="AS153" s="1" t="s">
        <v>51</v>
      </c>
      <c r="AU153" s="1" t="s">
        <v>366</v>
      </c>
      <c r="AV153">
        <v>92</v>
      </c>
    </row>
    <row r="154" spans="1:48" ht="30" customHeight="1" x14ac:dyDescent="0.3">
      <c r="A154" s="5" t="s">
        <v>289</v>
      </c>
      <c r="B154" s="5" t="s">
        <v>290</v>
      </c>
      <c r="C154" s="5" t="s">
        <v>58</v>
      </c>
      <c r="D154" s="6"/>
      <c r="E154" s="8"/>
      <c r="F154" s="8"/>
      <c r="G154" s="8"/>
      <c r="H154" s="8"/>
      <c r="I154" s="8"/>
      <c r="J154" s="8"/>
      <c r="K154" s="8"/>
      <c r="L154" s="8"/>
      <c r="M154" s="5" t="s">
        <v>291</v>
      </c>
      <c r="N154" s="1" t="s">
        <v>292</v>
      </c>
      <c r="O154" s="1" t="s">
        <v>51</v>
      </c>
      <c r="P154" s="1" t="s">
        <v>51</v>
      </c>
      <c r="Q154" s="1" t="s">
        <v>349</v>
      </c>
      <c r="R154" s="1" t="s">
        <v>61</v>
      </c>
      <c r="S154" s="1" t="s">
        <v>60</v>
      </c>
      <c r="T154" s="1" t="s">
        <v>60</v>
      </c>
      <c r="AR154" s="1" t="s">
        <v>51</v>
      </c>
      <c r="AS154" s="1" t="s">
        <v>51</v>
      </c>
      <c r="AU154" s="1" t="s">
        <v>367</v>
      </c>
      <c r="AV154">
        <v>93</v>
      </c>
    </row>
    <row r="155" spans="1:48" ht="30" customHeight="1" x14ac:dyDescent="0.3">
      <c r="A155" s="5" t="s">
        <v>294</v>
      </c>
      <c r="B155" s="5" t="s">
        <v>368</v>
      </c>
      <c r="C155" s="5" t="s">
        <v>58</v>
      </c>
      <c r="D155" s="6"/>
      <c r="E155" s="8"/>
      <c r="F155" s="8"/>
      <c r="G155" s="8"/>
      <c r="H155" s="8"/>
      <c r="I155" s="8"/>
      <c r="J155" s="8"/>
      <c r="K155" s="8"/>
      <c r="L155" s="8"/>
      <c r="M155" s="5" t="s">
        <v>369</v>
      </c>
      <c r="N155" s="1" t="s">
        <v>370</v>
      </c>
      <c r="O155" s="1" t="s">
        <v>51</v>
      </c>
      <c r="P155" s="1" t="s">
        <v>51</v>
      </c>
      <c r="Q155" s="1" t="s">
        <v>349</v>
      </c>
      <c r="R155" s="1" t="s">
        <v>61</v>
      </c>
      <c r="S155" s="1" t="s">
        <v>60</v>
      </c>
      <c r="T155" s="1" t="s">
        <v>60</v>
      </c>
      <c r="AR155" s="1" t="s">
        <v>51</v>
      </c>
      <c r="AS155" s="1" t="s">
        <v>51</v>
      </c>
      <c r="AU155" s="1" t="s">
        <v>371</v>
      </c>
      <c r="AV155">
        <v>94</v>
      </c>
    </row>
    <row r="156" spans="1:48" ht="30" customHeight="1" x14ac:dyDescent="0.3">
      <c r="A156" s="5" t="s">
        <v>372</v>
      </c>
      <c r="B156" s="5" t="s">
        <v>300</v>
      </c>
      <c r="C156" s="5" t="s">
        <v>65</v>
      </c>
      <c r="D156" s="6"/>
      <c r="E156" s="8"/>
      <c r="F156" s="8"/>
      <c r="G156" s="8"/>
      <c r="H156" s="8"/>
      <c r="I156" s="8"/>
      <c r="J156" s="8"/>
      <c r="K156" s="8"/>
      <c r="L156" s="8"/>
      <c r="M156" s="5" t="s">
        <v>373</v>
      </c>
      <c r="N156" s="1" t="s">
        <v>374</v>
      </c>
      <c r="O156" s="1" t="s">
        <v>51</v>
      </c>
      <c r="P156" s="1" t="s">
        <v>51</v>
      </c>
      <c r="Q156" s="1" t="s">
        <v>349</v>
      </c>
      <c r="R156" s="1" t="s">
        <v>61</v>
      </c>
      <c r="S156" s="1" t="s">
        <v>60</v>
      </c>
      <c r="T156" s="1" t="s">
        <v>60</v>
      </c>
      <c r="AR156" s="1" t="s">
        <v>51</v>
      </c>
      <c r="AS156" s="1" t="s">
        <v>51</v>
      </c>
      <c r="AU156" s="1" t="s">
        <v>375</v>
      </c>
      <c r="AV156">
        <v>95</v>
      </c>
    </row>
    <row r="157" spans="1:48" ht="30" customHeight="1" x14ac:dyDescent="0.3">
      <c r="A157" s="5" t="s">
        <v>299</v>
      </c>
      <c r="B157" s="5" t="s">
        <v>300</v>
      </c>
      <c r="C157" s="5" t="s">
        <v>65</v>
      </c>
      <c r="D157" s="6"/>
      <c r="E157" s="8"/>
      <c r="F157" s="8"/>
      <c r="G157" s="8"/>
      <c r="H157" s="8"/>
      <c r="I157" s="8"/>
      <c r="J157" s="8"/>
      <c r="K157" s="8"/>
      <c r="L157" s="8"/>
      <c r="M157" s="5" t="s">
        <v>301</v>
      </c>
      <c r="N157" s="1" t="s">
        <v>302</v>
      </c>
      <c r="O157" s="1" t="s">
        <v>51</v>
      </c>
      <c r="P157" s="1" t="s">
        <v>51</v>
      </c>
      <c r="Q157" s="1" t="s">
        <v>349</v>
      </c>
      <c r="R157" s="1" t="s">
        <v>61</v>
      </c>
      <c r="S157" s="1" t="s">
        <v>60</v>
      </c>
      <c r="T157" s="1" t="s">
        <v>60</v>
      </c>
      <c r="AR157" s="1" t="s">
        <v>51</v>
      </c>
      <c r="AS157" s="1" t="s">
        <v>51</v>
      </c>
      <c r="AU157" s="1" t="s">
        <v>376</v>
      </c>
      <c r="AV157">
        <v>96</v>
      </c>
    </row>
    <row r="158" spans="1:48" ht="30" customHeight="1" x14ac:dyDescent="0.3">
      <c r="A158" s="5" t="s">
        <v>377</v>
      </c>
      <c r="B158" s="5" t="s">
        <v>300</v>
      </c>
      <c r="C158" s="5" t="s">
        <v>65</v>
      </c>
      <c r="D158" s="6"/>
      <c r="E158" s="8"/>
      <c r="F158" s="8"/>
      <c r="G158" s="8"/>
      <c r="H158" s="8"/>
      <c r="I158" s="8"/>
      <c r="J158" s="8"/>
      <c r="K158" s="8"/>
      <c r="L158" s="8"/>
      <c r="M158" s="5" t="s">
        <v>378</v>
      </c>
      <c r="N158" s="1" t="s">
        <v>379</v>
      </c>
      <c r="O158" s="1" t="s">
        <v>51</v>
      </c>
      <c r="P158" s="1" t="s">
        <v>51</v>
      </c>
      <c r="Q158" s="1" t="s">
        <v>349</v>
      </c>
      <c r="R158" s="1" t="s">
        <v>61</v>
      </c>
      <c r="S158" s="1" t="s">
        <v>60</v>
      </c>
      <c r="T158" s="1" t="s">
        <v>60</v>
      </c>
      <c r="AR158" s="1" t="s">
        <v>51</v>
      </c>
      <c r="AS158" s="1" t="s">
        <v>51</v>
      </c>
      <c r="AU158" s="1" t="s">
        <v>380</v>
      </c>
      <c r="AV158">
        <v>97</v>
      </c>
    </row>
    <row r="159" spans="1:48" ht="30" customHeight="1" x14ac:dyDescent="0.3">
      <c r="A159" s="5" t="s">
        <v>381</v>
      </c>
      <c r="B159" s="5" t="s">
        <v>300</v>
      </c>
      <c r="C159" s="5" t="s">
        <v>65</v>
      </c>
      <c r="D159" s="6"/>
      <c r="E159" s="8"/>
      <c r="F159" s="8"/>
      <c r="G159" s="8"/>
      <c r="H159" s="8"/>
      <c r="I159" s="8"/>
      <c r="J159" s="8"/>
      <c r="K159" s="8"/>
      <c r="L159" s="8"/>
      <c r="M159" s="5" t="s">
        <v>382</v>
      </c>
      <c r="N159" s="1" t="s">
        <v>383</v>
      </c>
      <c r="O159" s="1" t="s">
        <v>51</v>
      </c>
      <c r="P159" s="1" t="s">
        <v>51</v>
      </c>
      <c r="Q159" s="1" t="s">
        <v>349</v>
      </c>
      <c r="R159" s="1" t="s">
        <v>61</v>
      </c>
      <c r="S159" s="1" t="s">
        <v>60</v>
      </c>
      <c r="T159" s="1" t="s">
        <v>60</v>
      </c>
      <c r="AR159" s="1" t="s">
        <v>51</v>
      </c>
      <c r="AS159" s="1" t="s">
        <v>51</v>
      </c>
      <c r="AU159" s="1" t="s">
        <v>384</v>
      </c>
      <c r="AV159">
        <v>98</v>
      </c>
    </row>
    <row r="160" spans="1:48" ht="30" customHeight="1" x14ac:dyDescent="0.3">
      <c r="A160" s="5" t="s">
        <v>385</v>
      </c>
      <c r="B160" s="5" t="s">
        <v>386</v>
      </c>
      <c r="C160" s="5" t="s">
        <v>58</v>
      </c>
      <c r="D160" s="6"/>
      <c r="E160" s="8"/>
      <c r="F160" s="8"/>
      <c r="G160" s="8"/>
      <c r="H160" s="8"/>
      <c r="I160" s="8"/>
      <c r="J160" s="8"/>
      <c r="K160" s="8"/>
      <c r="L160" s="8"/>
      <c r="M160" s="5" t="s">
        <v>387</v>
      </c>
      <c r="N160" s="1" t="s">
        <v>388</v>
      </c>
      <c r="O160" s="1" t="s">
        <v>51</v>
      </c>
      <c r="P160" s="1" t="s">
        <v>51</v>
      </c>
      <c r="Q160" s="1" t="s">
        <v>349</v>
      </c>
      <c r="R160" s="1" t="s">
        <v>61</v>
      </c>
      <c r="S160" s="1" t="s">
        <v>60</v>
      </c>
      <c r="T160" s="1" t="s">
        <v>60</v>
      </c>
      <c r="AR160" s="1" t="s">
        <v>51</v>
      </c>
      <c r="AS160" s="1" t="s">
        <v>51</v>
      </c>
      <c r="AU160" s="1" t="s">
        <v>389</v>
      </c>
      <c r="AV160">
        <v>99</v>
      </c>
    </row>
    <row r="161" spans="1:48" ht="30" customHeight="1" x14ac:dyDescent="0.3">
      <c r="A161" s="5" t="s">
        <v>390</v>
      </c>
      <c r="B161" s="5" t="s">
        <v>391</v>
      </c>
      <c r="C161" s="5" t="s">
        <v>58</v>
      </c>
      <c r="D161" s="6"/>
      <c r="E161" s="8"/>
      <c r="F161" s="8"/>
      <c r="G161" s="8"/>
      <c r="H161" s="8"/>
      <c r="I161" s="8"/>
      <c r="J161" s="8"/>
      <c r="K161" s="8"/>
      <c r="L161" s="8"/>
      <c r="M161" s="5" t="s">
        <v>392</v>
      </c>
      <c r="N161" s="1" t="s">
        <v>393</v>
      </c>
      <c r="O161" s="1" t="s">
        <v>51</v>
      </c>
      <c r="P161" s="1" t="s">
        <v>51</v>
      </c>
      <c r="Q161" s="1" t="s">
        <v>349</v>
      </c>
      <c r="R161" s="1" t="s">
        <v>61</v>
      </c>
      <c r="S161" s="1" t="s">
        <v>60</v>
      </c>
      <c r="T161" s="1" t="s">
        <v>60</v>
      </c>
      <c r="AR161" s="1" t="s">
        <v>51</v>
      </c>
      <c r="AS161" s="1" t="s">
        <v>51</v>
      </c>
      <c r="AU161" s="1" t="s">
        <v>394</v>
      </c>
      <c r="AV161">
        <v>100</v>
      </c>
    </row>
    <row r="162" spans="1:48" ht="30" customHeight="1" x14ac:dyDescent="0.3">
      <c r="A162" s="5" t="s">
        <v>395</v>
      </c>
      <c r="B162" s="5" t="s">
        <v>396</v>
      </c>
      <c r="C162" s="5" t="s">
        <v>58</v>
      </c>
      <c r="D162" s="6"/>
      <c r="E162" s="8"/>
      <c r="F162" s="8"/>
      <c r="G162" s="8"/>
      <c r="H162" s="8"/>
      <c r="I162" s="8"/>
      <c r="J162" s="8"/>
      <c r="K162" s="8"/>
      <c r="L162" s="8"/>
      <c r="M162" s="5" t="s">
        <v>397</v>
      </c>
      <c r="N162" s="1" t="s">
        <v>398</v>
      </c>
      <c r="O162" s="1" t="s">
        <v>51</v>
      </c>
      <c r="P162" s="1" t="s">
        <v>51</v>
      </c>
      <c r="Q162" s="1" t="s">
        <v>349</v>
      </c>
      <c r="R162" s="1" t="s">
        <v>61</v>
      </c>
      <c r="S162" s="1" t="s">
        <v>60</v>
      </c>
      <c r="T162" s="1" t="s">
        <v>60</v>
      </c>
      <c r="AR162" s="1" t="s">
        <v>51</v>
      </c>
      <c r="AS162" s="1" t="s">
        <v>51</v>
      </c>
      <c r="AU162" s="1" t="s">
        <v>399</v>
      </c>
      <c r="AV162">
        <v>101</v>
      </c>
    </row>
    <row r="163" spans="1:48" ht="30" customHeight="1" x14ac:dyDescent="0.3">
      <c r="A163" s="5" t="s">
        <v>400</v>
      </c>
      <c r="B163" s="5" t="s">
        <v>401</v>
      </c>
      <c r="C163" s="5" t="s">
        <v>58</v>
      </c>
      <c r="D163" s="6"/>
      <c r="E163" s="8"/>
      <c r="F163" s="8"/>
      <c r="G163" s="8"/>
      <c r="H163" s="8"/>
      <c r="I163" s="8"/>
      <c r="J163" s="8"/>
      <c r="K163" s="8"/>
      <c r="L163" s="8"/>
      <c r="M163" s="5" t="s">
        <v>402</v>
      </c>
      <c r="N163" s="1" t="s">
        <v>403</v>
      </c>
      <c r="O163" s="1" t="s">
        <v>51</v>
      </c>
      <c r="P163" s="1" t="s">
        <v>51</v>
      </c>
      <c r="Q163" s="1" t="s">
        <v>349</v>
      </c>
      <c r="R163" s="1" t="s">
        <v>61</v>
      </c>
      <c r="S163" s="1" t="s">
        <v>60</v>
      </c>
      <c r="T163" s="1" t="s">
        <v>60</v>
      </c>
      <c r="AR163" s="1" t="s">
        <v>51</v>
      </c>
      <c r="AS163" s="1" t="s">
        <v>51</v>
      </c>
      <c r="AU163" s="1" t="s">
        <v>404</v>
      </c>
      <c r="AV163">
        <v>102</v>
      </c>
    </row>
    <row r="164" spans="1:48" ht="30" customHeight="1" x14ac:dyDescent="0.3">
      <c r="A164" s="5" t="s">
        <v>405</v>
      </c>
      <c r="B164" s="5" t="s">
        <v>406</v>
      </c>
      <c r="C164" s="5" t="s">
        <v>58</v>
      </c>
      <c r="D164" s="6"/>
      <c r="E164" s="8"/>
      <c r="F164" s="8"/>
      <c r="G164" s="8"/>
      <c r="H164" s="8"/>
      <c r="I164" s="8"/>
      <c r="J164" s="8"/>
      <c r="K164" s="8"/>
      <c r="L164" s="8"/>
      <c r="M164" s="5" t="s">
        <v>407</v>
      </c>
      <c r="N164" s="1" t="s">
        <v>408</v>
      </c>
      <c r="O164" s="1" t="s">
        <v>51</v>
      </c>
      <c r="P164" s="1" t="s">
        <v>51</v>
      </c>
      <c r="Q164" s="1" t="s">
        <v>349</v>
      </c>
      <c r="R164" s="1" t="s">
        <v>61</v>
      </c>
      <c r="S164" s="1" t="s">
        <v>60</v>
      </c>
      <c r="T164" s="1" t="s">
        <v>60</v>
      </c>
      <c r="AR164" s="1" t="s">
        <v>51</v>
      </c>
      <c r="AS164" s="1" t="s">
        <v>51</v>
      </c>
      <c r="AU164" s="1" t="s">
        <v>409</v>
      </c>
      <c r="AV164">
        <v>103</v>
      </c>
    </row>
    <row r="165" spans="1:48" ht="30" customHeight="1" x14ac:dyDescent="0.3">
      <c r="A165" s="5" t="s">
        <v>410</v>
      </c>
      <c r="B165" s="5" t="s">
        <v>411</v>
      </c>
      <c r="C165" s="5" t="s">
        <v>58</v>
      </c>
      <c r="D165" s="6"/>
      <c r="E165" s="8"/>
      <c r="F165" s="8"/>
      <c r="G165" s="8"/>
      <c r="H165" s="8"/>
      <c r="I165" s="8"/>
      <c r="J165" s="8"/>
      <c r="K165" s="8"/>
      <c r="L165" s="8"/>
      <c r="M165" s="5" t="s">
        <v>412</v>
      </c>
      <c r="N165" s="1" t="s">
        <v>413</v>
      </c>
      <c r="O165" s="1" t="s">
        <v>51</v>
      </c>
      <c r="P165" s="1" t="s">
        <v>51</v>
      </c>
      <c r="Q165" s="1" t="s">
        <v>349</v>
      </c>
      <c r="R165" s="1" t="s">
        <v>61</v>
      </c>
      <c r="S165" s="1" t="s">
        <v>60</v>
      </c>
      <c r="T165" s="1" t="s">
        <v>60</v>
      </c>
      <c r="AR165" s="1" t="s">
        <v>51</v>
      </c>
      <c r="AS165" s="1" t="s">
        <v>51</v>
      </c>
      <c r="AU165" s="1" t="s">
        <v>414</v>
      </c>
      <c r="AV165">
        <v>104</v>
      </c>
    </row>
    <row r="166" spans="1:48" ht="30" customHeight="1" x14ac:dyDescent="0.3">
      <c r="A166" s="5" t="s">
        <v>410</v>
      </c>
      <c r="B166" s="5" t="s">
        <v>415</v>
      </c>
      <c r="C166" s="5" t="s">
        <v>58</v>
      </c>
      <c r="D166" s="6"/>
      <c r="E166" s="8"/>
      <c r="F166" s="8"/>
      <c r="G166" s="8"/>
      <c r="H166" s="8"/>
      <c r="I166" s="8"/>
      <c r="J166" s="8"/>
      <c r="K166" s="8"/>
      <c r="L166" s="8"/>
      <c r="M166" s="5" t="s">
        <v>416</v>
      </c>
      <c r="N166" s="1" t="s">
        <v>417</v>
      </c>
      <c r="O166" s="1" t="s">
        <v>51</v>
      </c>
      <c r="P166" s="1" t="s">
        <v>51</v>
      </c>
      <c r="Q166" s="1" t="s">
        <v>349</v>
      </c>
      <c r="R166" s="1" t="s">
        <v>61</v>
      </c>
      <c r="S166" s="1" t="s">
        <v>60</v>
      </c>
      <c r="T166" s="1" t="s">
        <v>60</v>
      </c>
      <c r="AR166" s="1" t="s">
        <v>51</v>
      </c>
      <c r="AS166" s="1" t="s">
        <v>51</v>
      </c>
      <c r="AU166" s="1" t="s">
        <v>418</v>
      </c>
      <c r="AV166">
        <v>105</v>
      </c>
    </row>
    <row r="167" spans="1:48" ht="30" customHeight="1" x14ac:dyDescent="0.3">
      <c r="A167" s="5" t="s">
        <v>410</v>
      </c>
      <c r="B167" s="5" t="s">
        <v>419</v>
      </c>
      <c r="C167" s="5" t="s">
        <v>58</v>
      </c>
      <c r="D167" s="6"/>
      <c r="E167" s="8"/>
      <c r="F167" s="8"/>
      <c r="G167" s="8"/>
      <c r="H167" s="8"/>
      <c r="I167" s="8"/>
      <c r="J167" s="8"/>
      <c r="K167" s="8"/>
      <c r="L167" s="8"/>
      <c r="M167" s="5" t="s">
        <v>420</v>
      </c>
      <c r="N167" s="1" t="s">
        <v>421</v>
      </c>
      <c r="O167" s="1" t="s">
        <v>51</v>
      </c>
      <c r="P167" s="1" t="s">
        <v>51</v>
      </c>
      <c r="Q167" s="1" t="s">
        <v>349</v>
      </c>
      <c r="R167" s="1" t="s">
        <v>61</v>
      </c>
      <c r="S167" s="1" t="s">
        <v>60</v>
      </c>
      <c r="T167" s="1" t="s">
        <v>60</v>
      </c>
      <c r="AR167" s="1" t="s">
        <v>51</v>
      </c>
      <c r="AS167" s="1" t="s">
        <v>51</v>
      </c>
      <c r="AU167" s="1" t="s">
        <v>422</v>
      </c>
      <c r="AV167">
        <v>106</v>
      </c>
    </row>
    <row r="168" spans="1:48" ht="30" customHeight="1" x14ac:dyDescent="0.3">
      <c r="A168" s="5" t="s">
        <v>423</v>
      </c>
      <c r="B168" s="5" t="s">
        <v>424</v>
      </c>
      <c r="C168" s="5" t="s">
        <v>58</v>
      </c>
      <c r="D168" s="6"/>
      <c r="E168" s="8"/>
      <c r="F168" s="8"/>
      <c r="G168" s="8"/>
      <c r="H168" s="8"/>
      <c r="I168" s="8"/>
      <c r="J168" s="8"/>
      <c r="K168" s="8"/>
      <c r="L168" s="8"/>
      <c r="M168" s="5" t="s">
        <v>425</v>
      </c>
      <c r="N168" s="1" t="s">
        <v>426</v>
      </c>
      <c r="O168" s="1" t="s">
        <v>51</v>
      </c>
      <c r="P168" s="1" t="s">
        <v>51</v>
      </c>
      <c r="Q168" s="1" t="s">
        <v>349</v>
      </c>
      <c r="R168" s="1" t="s">
        <v>61</v>
      </c>
      <c r="S168" s="1" t="s">
        <v>60</v>
      </c>
      <c r="T168" s="1" t="s">
        <v>60</v>
      </c>
      <c r="AR168" s="1" t="s">
        <v>51</v>
      </c>
      <c r="AS168" s="1" t="s">
        <v>51</v>
      </c>
      <c r="AU168" s="1" t="s">
        <v>427</v>
      </c>
      <c r="AV168">
        <v>107</v>
      </c>
    </row>
    <row r="169" spans="1:48" ht="30" customHeight="1" x14ac:dyDescent="0.3">
      <c r="A169" s="5" t="s">
        <v>308</v>
      </c>
      <c r="B169" s="5" t="s">
        <v>428</v>
      </c>
      <c r="C169" s="5" t="s">
        <v>58</v>
      </c>
      <c r="D169" s="6"/>
      <c r="E169" s="8"/>
      <c r="F169" s="8"/>
      <c r="G169" s="8"/>
      <c r="H169" s="8"/>
      <c r="I169" s="8"/>
      <c r="J169" s="8"/>
      <c r="K169" s="8"/>
      <c r="L169" s="8"/>
      <c r="M169" s="5" t="s">
        <v>429</v>
      </c>
      <c r="N169" s="1" t="s">
        <v>430</v>
      </c>
      <c r="O169" s="1" t="s">
        <v>51</v>
      </c>
      <c r="P169" s="1" t="s">
        <v>51</v>
      </c>
      <c r="Q169" s="1" t="s">
        <v>349</v>
      </c>
      <c r="R169" s="1" t="s">
        <v>61</v>
      </c>
      <c r="S169" s="1" t="s">
        <v>60</v>
      </c>
      <c r="T169" s="1" t="s">
        <v>60</v>
      </c>
      <c r="AR169" s="1" t="s">
        <v>51</v>
      </c>
      <c r="AS169" s="1" t="s">
        <v>51</v>
      </c>
      <c r="AU169" s="1" t="s">
        <v>431</v>
      </c>
      <c r="AV169">
        <v>108</v>
      </c>
    </row>
    <row r="170" spans="1:48" ht="30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 x14ac:dyDescent="0.3">
      <c r="A171" s="5" t="s">
        <v>207</v>
      </c>
      <c r="B171" s="6"/>
      <c r="C171" s="6"/>
      <c r="D171" s="6"/>
      <c r="E171" s="6"/>
      <c r="F171" s="8"/>
      <c r="G171" s="6"/>
      <c r="H171" s="8"/>
      <c r="I171" s="6"/>
      <c r="J171" s="8"/>
      <c r="K171" s="6"/>
      <c r="L171" s="8"/>
      <c r="M171" s="6"/>
      <c r="N171" t="s">
        <v>208</v>
      </c>
    </row>
    <row r="172" spans="1:48" ht="30" customHeight="1" x14ac:dyDescent="0.3">
      <c r="A172" s="5" t="s">
        <v>2306</v>
      </c>
      <c r="B172" s="5" t="s">
        <v>51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Q172" s="1" t="s">
        <v>432</v>
      </c>
    </row>
    <row r="173" spans="1:48" ht="30" customHeight="1" x14ac:dyDescent="0.3">
      <c r="A173" s="5" t="s">
        <v>280</v>
      </c>
      <c r="B173" s="5" t="s">
        <v>350</v>
      </c>
      <c r="C173" s="5" t="s">
        <v>58</v>
      </c>
      <c r="D173" s="6"/>
      <c r="E173" s="8"/>
      <c r="F173" s="8"/>
      <c r="G173" s="8"/>
      <c r="H173" s="8"/>
      <c r="I173" s="8"/>
      <c r="J173" s="8"/>
      <c r="K173" s="8"/>
      <c r="L173" s="8"/>
      <c r="M173" s="5" t="s">
        <v>51</v>
      </c>
      <c r="N173" s="1" t="s">
        <v>351</v>
      </c>
      <c r="O173" s="1" t="s">
        <v>51</v>
      </c>
      <c r="P173" s="1" t="s">
        <v>51</v>
      </c>
      <c r="Q173" s="1" t="s">
        <v>432</v>
      </c>
      <c r="R173" s="1" t="s">
        <v>60</v>
      </c>
      <c r="S173" s="1" t="s">
        <v>60</v>
      </c>
      <c r="T173" s="1" t="s">
        <v>61</v>
      </c>
      <c r="AR173" s="1" t="s">
        <v>51</v>
      </c>
      <c r="AS173" s="1" t="s">
        <v>51</v>
      </c>
      <c r="AU173" s="1" t="s">
        <v>433</v>
      </c>
      <c r="AV173">
        <v>110</v>
      </c>
    </row>
    <row r="174" spans="1:48" ht="30" customHeight="1" x14ac:dyDescent="0.3">
      <c r="A174" s="5" t="s">
        <v>353</v>
      </c>
      <c r="B174" s="5" t="s">
        <v>354</v>
      </c>
      <c r="C174" s="5" t="s">
        <v>58</v>
      </c>
      <c r="D174" s="6"/>
      <c r="E174" s="8"/>
      <c r="F174" s="8"/>
      <c r="G174" s="8"/>
      <c r="H174" s="8"/>
      <c r="I174" s="8"/>
      <c r="J174" s="8"/>
      <c r="K174" s="8"/>
      <c r="L174" s="8"/>
      <c r="M174" s="5" t="s">
        <v>51</v>
      </c>
      <c r="N174" s="1" t="s">
        <v>355</v>
      </c>
      <c r="O174" s="1" t="s">
        <v>51</v>
      </c>
      <c r="P174" s="1" t="s">
        <v>51</v>
      </c>
      <c r="Q174" s="1" t="s">
        <v>432</v>
      </c>
      <c r="R174" s="1" t="s">
        <v>60</v>
      </c>
      <c r="S174" s="1" t="s">
        <v>60</v>
      </c>
      <c r="T174" s="1" t="s">
        <v>61</v>
      </c>
      <c r="AR174" s="1" t="s">
        <v>51</v>
      </c>
      <c r="AS174" s="1" t="s">
        <v>51</v>
      </c>
      <c r="AU174" s="1" t="s">
        <v>434</v>
      </c>
      <c r="AV174">
        <v>111</v>
      </c>
    </row>
    <row r="175" spans="1:48" ht="30" customHeight="1" x14ac:dyDescent="0.3">
      <c r="A175" s="5" t="s">
        <v>357</v>
      </c>
      <c r="B175" s="5" t="s">
        <v>358</v>
      </c>
      <c r="C175" s="5" t="s">
        <v>65</v>
      </c>
      <c r="D175" s="6"/>
      <c r="E175" s="8"/>
      <c r="F175" s="8"/>
      <c r="G175" s="8"/>
      <c r="H175" s="8"/>
      <c r="I175" s="8"/>
      <c r="J175" s="8"/>
      <c r="K175" s="8"/>
      <c r="L175" s="8"/>
      <c r="M175" s="5" t="s">
        <v>359</v>
      </c>
      <c r="N175" s="1" t="s">
        <v>360</v>
      </c>
      <c r="O175" s="1" t="s">
        <v>51</v>
      </c>
      <c r="P175" s="1" t="s">
        <v>51</v>
      </c>
      <c r="Q175" s="1" t="s">
        <v>432</v>
      </c>
      <c r="R175" s="1" t="s">
        <v>61</v>
      </c>
      <c r="S175" s="1" t="s">
        <v>60</v>
      </c>
      <c r="T175" s="1" t="s">
        <v>60</v>
      </c>
      <c r="AR175" s="1" t="s">
        <v>51</v>
      </c>
      <c r="AS175" s="1" t="s">
        <v>51</v>
      </c>
      <c r="AU175" s="1" t="s">
        <v>435</v>
      </c>
      <c r="AV175">
        <v>112</v>
      </c>
    </row>
    <row r="176" spans="1:48" ht="30" customHeight="1" x14ac:dyDescent="0.3">
      <c r="A176" s="5" t="s">
        <v>284</v>
      </c>
      <c r="B176" s="5" t="s">
        <v>285</v>
      </c>
      <c r="C176" s="5" t="s">
        <v>65</v>
      </c>
      <c r="D176" s="6"/>
      <c r="E176" s="8"/>
      <c r="F176" s="8"/>
      <c r="G176" s="8"/>
      <c r="H176" s="8"/>
      <c r="I176" s="8"/>
      <c r="J176" s="8"/>
      <c r="K176" s="8"/>
      <c r="L176" s="8"/>
      <c r="M176" s="5" t="s">
        <v>286</v>
      </c>
      <c r="N176" s="1" t="s">
        <v>287</v>
      </c>
      <c r="O176" s="1" t="s">
        <v>51</v>
      </c>
      <c r="P176" s="1" t="s">
        <v>51</v>
      </c>
      <c r="Q176" s="1" t="s">
        <v>432</v>
      </c>
      <c r="R176" s="1" t="s">
        <v>61</v>
      </c>
      <c r="S176" s="1" t="s">
        <v>60</v>
      </c>
      <c r="T176" s="1" t="s">
        <v>60</v>
      </c>
      <c r="AR176" s="1" t="s">
        <v>51</v>
      </c>
      <c r="AS176" s="1" t="s">
        <v>51</v>
      </c>
      <c r="AU176" s="1" t="s">
        <v>436</v>
      </c>
      <c r="AV176">
        <v>113</v>
      </c>
    </row>
    <row r="177" spans="1:48" ht="30" customHeight="1" x14ac:dyDescent="0.3">
      <c r="A177" s="5" t="s">
        <v>284</v>
      </c>
      <c r="B177" s="5" t="s">
        <v>363</v>
      </c>
      <c r="C177" s="5" t="s">
        <v>65</v>
      </c>
      <c r="D177" s="6"/>
      <c r="E177" s="8"/>
      <c r="F177" s="8"/>
      <c r="G177" s="8"/>
      <c r="H177" s="8"/>
      <c r="I177" s="8"/>
      <c r="J177" s="8"/>
      <c r="K177" s="8"/>
      <c r="L177" s="8"/>
      <c r="M177" s="5" t="s">
        <v>364</v>
      </c>
      <c r="N177" s="1" t="s">
        <v>365</v>
      </c>
      <c r="O177" s="1" t="s">
        <v>51</v>
      </c>
      <c r="P177" s="1" t="s">
        <v>51</v>
      </c>
      <c r="Q177" s="1" t="s">
        <v>432</v>
      </c>
      <c r="R177" s="1" t="s">
        <v>61</v>
      </c>
      <c r="S177" s="1" t="s">
        <v>60</v>
      </c>
      <c r="T177" s="1" t="s">
        <v>60</v>
      </c>
      <c r="AR177" s="1" t="s">
        <v>51</v>
      </c>
      <c r="AS177" s="1" t="s">
        <v>51</v>
      </c>
      <c r="AU177" s="1" t="s">
        <v>437</v>
      </c>
      <c r="AV177">
        <v>114</v>
      </c>
    </row>
    <row r="178" spans="1:48" ht="30" customHeight="1" x14ac:dyDescent="0.3">
      <c r="A178" s="5" t="s">
        <v>289</v>
      </c>
      <c r="B178" s="5" t="s">
        <v>290</v>
      </c>
      <c r="C178" s="5" t="s">
        <v>58</v>
      </c>
      <c r="D178" s="6"/>
      <c r="E178" s="8"/>
      <c r="F178" s="8"/>
      <c r="G178" s="8"/>
      <c r="H178" s="8"/>
      <c r="I178" s="8"/>
      <c r="J178" s="8"/>
      <c r="K178" s="8"/>
      <c r="L178" s="8"/>
      <c r="M178" s="5" t="s">
        <v>291</v>
      </c>
      <c r="N178" s="1" t="s">
        <v>292</v>
      </c>
      <c r="O178" s="1" t="s">
        <v>51</v>
      </c>
      <c r="P178" s="1" t="s">
        <v>51</v>
      </c>
      <c r="Q178" s="1" t="s">
        <v>432</v>
      </c>
      <c r="R178" s="1" t="s">
        <v>61</v>
      </c>
      <c r="S178" s="1" t="s">
        <v>60</v>
      </c>
      <c r="T178" s="1" t="s">
        <v>60</v>
      </c>
      <c r="AR178" s="1" t="s">
        <v>51</v>
      </c>
      <c r="AS178" s="1" t="s">
        <v>51</v>
      </c>
      <c r="AU178" s="1" t="s">
        <v>438</v>
      </c>
      <c r="AV178">
        <v>115</v>
      </c>
    </row>
    <row r="179" spans="1:48" ht="30" customHeight="1" x14ac:dyDescent="0.3">
      <c r="A179" s="5" t="s">
        <v>294</v>
      </c>
      <c r="B179" s="5" t="s">
        <v>368</v>
      </c>
      <c r="C179" s="5" t="s">
        <v>58</v>
      </c>
      <c r="D179" s="6"/>
      <c r="E179" s="8"/>
      <c r="F179" s="8"/>
      <c r="G179" s="8"/>
      <c r="H179" s="8"/>
      <c r="I179" s="8"/>
      <c r="J179" s="8"/>
      <c r="K179" s="8"/>
      <c r="L179" s="8"/>
      <c r="M179" s="5" t="s">
        <v>369</v>
      </c>
      <c r="N179" s="1" t="s">
        <v>370</v>
      </c>
      <c r="O179" s="1" t="s">
        <v>51</v>
      </c>
      <c r="P179" s="1" t="s">
        <v>51</v>
      </c>
      <c r="Q179" s="1" t="s">
        <v>432</v>
      </c>
      <c r="R179" s="1" t="s">
        <v>61</v>
      </c>
      <c r="S179" s="1" t="s">
        <v>60</v>
      </c>
      <c r="T179" s="1" t="s">
        <v>60</v>
      </c>
      <c r="AR179" s="1" t="s">
        <v>51</v>
      </c>
      <c r="AS179" s="1" t="s">
        <v>51</v>
      </c>
      <c r="AU179" s="1" t="s">
        <v>439</v>
      </c>
      <c r="AV179">
        <v>116</v>
      </c>
    </row>
    <row r="180" spans="1:48" ht="30" customHeight="1" x14ac:dyDescent="0.3">
      <c r="A180" s="5" t="s">
        <v>372</v>
      </c>
      <c r="B180" s="5" t="s">
        <v>300</v>
      </c>
      <c r="C180" s="5" t="s">
        <v>65</v>
      </c>
      <c r="D180" s="6"/>
      <c r="E180" s="8"/>
      <c r="F180" s="8"/>
      <c r="G180" s="8"/>
      <c r="H180" s="8"/>
      <c r="I180" s="8"/>
      <c r="J180" s="8"/>
      <c r="K180" s="8"/>
      <c r="L180" s="8"/>
      <c r="M180" s="5" t="s">
        <v>373</v>
      </c>
      <c r="N180" s="1" t="s">
        <v>374</v>
      </c>
      <c r="O180" s="1" t="s">
        <v>51</v>
      </c>
      <c r="P180" s="1" t="s">
        <v>51</v>
      </c>
      <c r="Q180" s="1" t="s">
        <v>432</v>
      </c>
      <c r="R180" s="1" t="s">
        <v>61</v>
      </c>
      <c r="S180" s="1" t="s">
        <v>60</v>
      </c>
      <c r="T180" s="1" t="s">
        <v>60</v>
      </c>
      <c r="AR180" s="1" t="s">
        <v>51</v>
      </c>
      <c r="AS180" s="1" t="s">
        <v>51</v>
      </c>
      <c r="AU180" s="1" t="s">
        <v>440</v>
      </c>
      <c r="AV180">
        <v>117</v>
      </c>
    </row>
    <row r="181" spans="1:48" ht="30" customHeight="1" x14ac:dyDescent="0.3">
      <c r="A181" s="5" t="s">
        <v>299</v>
      </c>
      <c r="B181" s="5" t="s">
        <v>300</v>
      </c>
      <c r="C181" s="5" t="s">
        <v>65</v>
      </c>
      <c r="D181" s="6"/>
      <c r="E181" s="8"/>
      <c r="F181" s="8"/>
      <c r="G181" s="8"/>
      <c r="H181" s="8"/>
      <c r="I181" s="8"/>
      <c r="J181" s="8"/>
      <c r="K181" s="8"/>
      <c r="L181" s="8"/>
      <c r="M181" s="5" t="s">
        <v>301</v>
      </c>
      <c r="N181" s="1" t="s">
        <v>302</v>
      </c>
      <c r="O181" s="1" t="s">
        <v>51</v>
      </c>
      <c r="P181" s="1" t="s">
        <v>51</v>
      </c>
      <c r="Q181" s="1" t="s">
        <v>432</v>
      </c>
      <c r="R181" s="1" t="s">
        <v>61</v>
      </c>
      <c r="S181" s="1" t="s">
        <v>60</v>
      </c>
      <c r="T181" s="1" t="s">
        <v>60</v>
      </c>
      <c r="AR181" s="1" t="s">
        <v>51</v>
      </c>
      <c r="AS181" s="1" t="s">
        <v>51</v>
      </c>
      <c r="AU181" s="1" t="s">
        <v>441</v>
      </c>
      <c r="AV181">
        <v>118</v>
      </c>
    </row>
    <row r="182" spans="1:48" ht="30" customHeight="1" x14ac:dyDescent="0.3">
      <c r="A182" s="5" t="s">
        <v>377</v>
      </c>
      <c r="B182" s="5" t="s">
        <v>300</v>
      </c>
      <c r="C182" s="5" t="s">
        <v>65</v>
      </c>
      <c r="D182" s="6"/>
      <c r="E182" s="8"/>
      <c r="F182" s="8"/>
      <c r="G182" s="8"/>
      <c r="H182" s="8"/>
      <c r="I182" s="8"/>
      <c r="J182" s="8"/>
      <c r="K182" s="8"/>
      <c r="L182" s="8"/>
      <c r="M182" s="5" t="s">
        <v>378</v>
      </c>
      <c r="N182" s="1" t="s">
        <v>379</v>
      </c>
      <c r="O182" s="1" t="s">
        <v>51</v>
      </c>
      <c r="P182" s="1" t="s">
        <v>51</v>
      </c>
      <c r="Q182" s="1" t="s">
        <v>432</v>
      </c>
      <c r="R182" s="1" t="s">
        <v>61</v>
      </c>
      <c r="S182" s="1" t="s">
        <v>60</v>
      </c>
      <c r="T182" s="1" t="s">
        <v>60</v>
      </c>
      <c r="AR182" s="1" t="s">
        <v>51</v>
      </c>
      <c r="AS182" s="1" t="s">
        <v>51</v>
      </c>
      <c r="AU182" s="1" t="s">
        <v>442</v>
      </c>
      <c r="AV182">
        <v>119</v>
      </c>
    </row>
    <row r="183" spans="1:48" ht="30" customHeight="1" x14ac:dyDescent="0.3">
      <c r="A183" s="5" t="s">
        <v>381</v>
      </c>
      <c r="B183" s="5" t="s">
        <v>300</v>
      </c>
      <c r="C183" s="5" t="s">
        <v>65</v>
      </c>
      <c r="D183" s="6"/>
      <c r="E183" s="8"/>
      <c r="F183" s="8"/>
      <c r="G183" s="8"/>
      <c r="H183" s="8"/>
      <c r="I183" s="8"/>
      <c r="J183" s="8"/>
      <c r="K183" s="8"/>
      <c r="L183" s="8"/>
      <c r="M183" s="5" t="s">
        <v>382</v>
      </c>
      <c r="N183" s="1" t="s">
        <v>383</v>
      </c>
      <c r="O183" s="1" t="s">
        <v>51</v>
      </c>
      <c r="P183" s="1" t="s">
        <v>51</v>
      </c>
      <c r="Q183" s="1" t="s">
        <v>432</v>
      </c>
      <c r="R183" s="1" t="s">
        <v>61</v>
      </c>
      <c r="S183" s="1" t="s">
        <v>60</v>
      </c>
      <c r="T183" s="1" t="s">
        <v>60</v>
      </c>
      <c r="AR183" s="1" t="s">
        <v>51</v>
      </c>
      <c r="AS183" s="1" t="s">
        <v>51</v>
      </c>
      <c r="AU183" s="1" t="s">
        <v>443</v>
      </c>
      <c r="AV183">
        <v>120</v>
      </c>
    </row>
    <row r="184" spans="1:48" ht="30" customHeight="1" x14ac:dyDescent="0.3">
      <c r="A184" s="5" t="s">
        <v>385</v>
      </c>
      <c r="B184" s="5" t="s">
        <v>386</v>
      </c>
      <c r="C184" s="5" t="s">
        <v>58</v>
      </c>
      <c r="D184" s="6"/>
      <c r="E184" s="8"/>
      <c r="F184" s="8"/>
      <c r="G184" s="8"/>
      <c r="H184" s="8"/>
      <c r="I184" s="8"/>
      <c r="J184" s="8"/>
      <c r="K184" s="8"/>
      <c r="L184" s="8"/>
      <c r="M184" s="5" t="s">
        <v>387</v>
      </c>
      <c r="N184" s="1" t="s">
        <v>388</v>
      </c>
      <c r="O184" s="1" t="s">
        <v>51</v>
      </c>
      <c r="P184" s="1" t="s">
        <v>51</v>
      </c>
      <c r="Q184" s="1" t="s">
        <v>432</v>
      </c>
      <c r="R184" s="1" t="s">
        <v>61</v>
      </c>
      <c r="S184" s="1" t="s">
        <v>60</v>
      </c>
      <c r="T184" s="1" t="s">
        <v>60</v>
      </c>
      <c r="AR184" s="1" t="s">
        <v>51</v>
      </c>
      <c r="AS184" s="1" t="s">
        <v>51</v>
      </c>
      <c r="AU184" s="1" t="s">
        <v>444</v>
      </c>
      <c r="AV184">
        <v>121</v>
      </c>
    </row>
    <row r="185" spans="1:48" ht="30" customHeight="1" x14ac:dyDescent="0.3">
      <c r="A185" s="5" t="s">
        <v>395</v>
      </c>
      <c r="B185" s="5" t="s">
        <v>396</v>
      </c>
      <c r="C185" s="5" t="s">
        <v>58</v>
      </c>
      <c r="D185" s="6"/>
      <c r="E185" s="8"/>
      <c r="F185" s="8"/>
      <c r="G185" s="8"/>
      <c r="H185" s="8"/>
      <c r="I185" s="8"/>
      <c r="J185" s="8"/>
      <c r="K185" s="8"/>
      <c r="L185" s="8"/>
      <c r="M185" s="5" t="s">
        <v>397</v>
      </c>
      <c r="N185" s="1" t="s">
        <v>398</v>
      </c>
      <c r="O185" s="1" t="s">
        <v>51</v>
      </c>
      <c r="P185" s="1" t="s">
        <v>51</v>
      </c>
      <c r="Q185" s="1" t="s">
        <v>432</v>
      </c>
      <c r="R185" s="1" t="s">
        <v>61</v>
      </c>
      <c r="S185" s="1" t="s">
        <v>60</v>
      </c>
      <c r="T185" s="1" t="s">
        <v>60</v>
      </c>
      <c r="AR185" s="1" t="s">
        <v>51</v>
      </c>
      <c r="AS185" s="1" t="s">
        <v>51</v>
      </c>
      <c r="AU185" s="1" t="s">
        <v>445</v>
      </c>
      <c r="AV185">
        <v>122</v>
      </c>
    </row>
    <row r="186" spans="1:48" ht="30" customHeight="1" x14ac:dyDescent="0.3">
      <c r="A186" s="5" t="s">
        <v>405</v>
      </c>
      <c r="B186" s="5" t="s">
        <v>406</v>
      </c>
      <c r="C186" s="5" t="s">
        <v>58</v>
      </c>
      <c r="D186" s="6"/>
      <c r="E186" s="8"/>
      <c r="F186" s="8"/>
      <c r="G186" s="8"/>
      <c r="H186" s="8"/>
      <c r="I186" s="8"/>
      <c r="J186" s="8"/>
      <c r="K186" s="8"/>
      <c r="L186" s="8"/>
      <c r="M186" s="5" t="s">
        <v>407</v>
      </c>
      <c r="N186" s="1" t="s">
        <v>408</v>
      </c>
      <c r="O186" s="1" t="s">
        <v>51</v>
      </c>
      <c r="P186" s="1" t="s">
        <v>51</v>
      </c>
      <c r="Q186" s="1" t="s">
        <v>432</v>
      </c>
      <c r="R186" s="1" t="s">
        <v>61</v>
      </c>
      <c r="S186" s="1" t="s">
        <v>60</v>
      </c>
      <c r="T186" s="1" t="s">
        <v>60</v>
      </c>
      <c r="AR186" s="1" t="s">
        <v>51</v>
      </c>
      <c r="AS186" s="1" t="s">
        <v>51</v>
      </c>
      <c r="AU186" s="1" t="s">
        <v>446</v>
      </c>
      <c r="AV186">
        <v>123</v>
      </c>
    </row>
    <row r="187" spans="1:48" ht="30" customHeight="1" x14ac:dyDescent="0.3">
      <c r="A187" s="5" t="s">
        <v>410</v>
      </c>
      <c r="B187" s="5" t="s">
        <v>411</v>
      </c>
      <c r="C187" s="5" t="s">
        <v>58</v>
      </c>
      <c r="D187" s="6"/>
      <c r="E187" s="8"/>
      <c r="F187" s="8"/>
      <c r="G187" s="8"/>
      <c r="H187" s="8"/>
      <c r="I187" s="8"/>
      <c r="J187" s="8"/>
      <c r="K187" s="8"/>
      <c r="L187" s="8"/>
      <c r="M187" s="5" t="s">
        <v>412</v>
      </c>
      <c r="N187" s="1" t="s">
        <v>413</v>
      </c>
      <c r="O187" s="1" t="s">
        <v>51</v>
      </c>
      <c r="P187" s="1" t="s">
        <v>51</v>
      </c>
      <c r="Q187" s="1" t="s">
        <v>432</v>
      </c>
      <c r="R187" s="1" t="s">
        <v>61</v>
      </c>
      <c r="S187" s="1" t="s">
        <v>60</v>
      </c>
      <c r="T187" s="1" t="s">
        <v>60</v>
      </c>
      <c r="AR187" s="1" t="s">
        <v>51</v>
      </c>
      <c r="AS187" s="1" t="s">
        <v>51</v>
      </c>
      <c r="AU187" s="1" t="s">
        <v>447</v>
      </c>
      <c r="AV187">
        <v>124</v>
      </c>
    </row>
    <row r="188" spans="1:48" ht="30" customHeight="1" x14ac:dyDescent="0.3">
      <c r="A188" s="5" t="s">
        <v>410</v>
      </c>
      <c r="B188" s="5" t="s">
        <v>415</v>
      </c>
      <c r="C188" s="5" t="s">
        <v>58</v>
      </c>
      <c r="D188" s="6"/>
      <c r="E188" s="8"/>
      <c r="F188" s="8"/>
      <c r="G188" s="8"/>
      <c r="H188" s="8"/>
      <c r="I188" s="8"/>
      <c r="J188" s="8"/>
      <c r="K188" s="8"/>
      <c r="L188" s="8"/>
      <c r="M188" s="5" t="s">
        <v>416</v>
      </c>
      <c r="N188" s="1" t="s">
        <v>417</v>
      </c>
      <c r="O188" s="1" t="s">
        <v>51</v>
      </c>
      <c r="P188" s="1" t="s">
        <v>51</v>
      </c>
      <c r="Q188" s="1" t="s">
        <v>432</v>
      </c>
      <c r="R188" s="1" t="s">
        <v>61</v>
      </c>
      <c r="S188" s="1" t="s">
        <v>60</v>
      </c>
      <c r="T188" s="1" t="s">
        <v>60</v>
      </c>
      <c r="AR188" s="1" t="s">
        <v>51</v>
      </c>
      <c r="AS188" s="1" t="s">
        <v>51</v>
      </c>
      <c r="AU188" s="1" t="s">
        <v>448</v>
      </c>
      <c r="AV188">
        <v>125</v>
      </c>
    </row>
    <row r="189" spans="1:48" ht="30" customHeight="1" x14ac:dyDescent="0.3">
      <c r="A189" s="5" t="s">
        <v>423</v>
      </c>
      <c r="B189" s="5" t="s">
        <v>424</v>
      </c>
      <c r="C189" s="5" t="s">
        <v>58</v>
      </c>
      <c r="D189" s="6"/>
      <c r="E189" s="8"/>
      <c r="F189" s="8"/>
      <c r="G189" s="8"/>
      <c r="H189" s="8"/>
      <c r="I189" s="8"/>
      <c r="J189" s="8"/>
      <c r="K189" s="8"/>
      <c r="L189" s="8"/>
      <c r="M189" s="5" t="s">
        <v>425</v>
      </c>
      <c r="N189" s="1" t="s">
        <v>426</v>
      </c>
      <c r="O189" s="1" t="s">
        <v>51</v>
      </c>
      <c r="P189" s="1" t="s">
        <v>51</v>
      </c>
      <c r="Q189" s="1" t="s">
        <v>432</v>
      </c>
      <c r="R189" s="1" t="s">
        <v>61</v>
      </c>
      <c r="S189" s="1" t="s">
        <v>60</v>
      </c>
      <c r="T189" s="1" t="s">
        <v>60</v>
      </c>
      <c r="AR189" s="1" t="s">
        <v>51</v>
      </c>
      <c r="AS189" s="1" t="s">
        <v>51</v>
      </c>
      <c r="AU189" s="1" t="s">
        <v>449</v>
      </c>
      <c r="AV189">
        <v>126</v>
      </c>
    </row>
    <row r="190" spans="1:48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8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8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 x14ac:dyDescent="0.3">
      <c r="A195" s="5" t="s">
        <v>207</v>
      </c>
      <c r="B195" s="6"/>
      <c r="C195" s="6"/>
      <c r="D195" s="6"/>
      <c r="E195" s="6"/>
      <c r="F195" s="8"/>
      <c r="G195" s="6"/>
      <c r="H195" s="8"/>
      <c r="I195" s="6"/>
      <c r="J195" s="8"/>
      <c r="K195" s="6"/>
      <c r="L195" s="8"/>
      <c r="M195" s="6"/>
      <c r="N195" t="s">
        <v>208</v>
      </c>
    </row>
    <row r="196" spans="1:48" ht="30" customHeight="1" x14ac:dyDescent="0.3">
      <c r="A196" s="5" t="s">
        <v>2307</v>
      </c>
      <c r="B196" s="5" t="s">
        <v>51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Q196" s="1" t="s">
        <v>450</v>
      </c>
    </row>
    <row r="197" spans="1:48" ht="30" customHeight="1" x14ac:dyDescent="0.3">
      <c r="A197" s="5" t="s">
        <v>280</v>
      </c>
      <c r="B197" s="5" t="s">
        <v>350</v>
      </c>
      <c r="C197" s="5" t="s">
        <v>58</v>
      </c>
      <c r="D197" s="6"/>
      <c r="E197" s="8"/>
      <c r="F197" s="8"/>
      <c r="G197" s="8"/>
      <c r="H197" s="8"/>
      <c r="I197" s="8"/>
      <c r="J197" s="8"/>
      <c r="K197" s="8"/>
      <c r="L197" s="8"/>
      <c r="M197" s="5" t="s">
        <v>51</v>
      </c>
      <c r="N197" s="1" t="s">
        <v>351</v>
      </c>
      <c r="O197" s="1" t="s">
        <v>51</v>
      </c>
      <c r="P197" s="1" t="s">
        <v>51</v>
      </c>
      <c r="Q197" s="1" t="s">
        <v>450</v>
      </c>
      <c r="R197" s="1" t="s">
        <v>60</v>
      </c>
      <c r="S197" s="1" t="s">
        <v>60</v>
      </c>
      <c r="T197" s="1" t="s">
        <v>61</v>
      </c>
      <c r="AR197" s="1" t="s">
        <v>51</v>
      </c>
      <c r="AS197" s="1" t="s">
        <v>51</v>
      </c>
      <c r="AU197" s="1" t="s">
        <v>451</v>
      </c>
      <c r="AV197">
        <v>128</v>
      </c>
    </row>
    <row r="198" spans="1:48" ht="30" customHeight="1" x14ac:dyDescent="0.3">
      <c r="A198" s="5" t="s">
        <v>353</v>
      </c>
      <c r="B198" s="5" t="s">
        <v>354</v>
      </c>
      <c r="C198" s="5" t="s">
        <v>58</v>
      </c>
      <c r="D198" s="6"/>
      <c r="E198" s="8"/>
      <c r="F198" s="8"/>
      <c r="G198" s="8"/>
      <c r="H198" s="8"/>
      <c r="I198" s="8"/>
      <c r="J198" s="8"/>
      <c r="K198" s="8"/>
      <c r="L198" s="8"/>
      <c r="M198" s="5" t="s">
        <v>51</v>
      </c>
      <c r="N198" s="1" t="s">
        <v>355</v>
      </c>
      <c r="O198" s="1" t="s">
        <v>51</v>
      </c>
      <c r="P198" s="1" t="s">
        <v>51</v>
      </c>
      <c r="Q198" s="1" t="s">
        <v>450</v>
      </c>
      <c r="R198" s="1" t="s">
        <v>60</v>
      </c>
      <c r="S198" s="1" t="s">
        <v>60</v>
      </c>
      <c r="T198" s="1" t="s">
        <v>61</v>
      </c>
      <c r="AR198" s="1" t="s">
        <v>51</v>
      </c>
      <c r="AS198" s="1" t="s">
        <v>51</v>
      </c>
      <c r="AU198" s="1" t="s">
        <v>452</v>
      </c>
      <c r="AV198">
        <v>129</v>
      </c>
    </row>
    <row r="199" spans="1:48" ht="30" customHeight="1" x14ac:dyDescent="0.3">
      <c r="A199" s="5" t="s">
        <v>357</v>
      </c>
      <c r="B199" s="5" t="s">
        <v>358</v>
      </c>
      <c r="C199" s="5" t="s">
        <v>65</v>
      </c>
      <c r="D199" s="6"/>
      <c r="E199" s="8"/>
      <c r="F199" s="8"/>
      <c r="G199" s="8"/>
      <c r="H199" s="8"/>
      <c r="I199" s="8"/>
      <c r="J199" s="8"/>
      <c r="K199" s="8"/>
      <c r="L199" s="8"/>
      <c r="M199" s="5" t="s">
        <v>359</v>
      </c>
      <c r="N199" s="1" t="s">
        <v>360</v>
      </c>
      <c r="O199" s="1" t="s">
        <v>51</v>
      </c>
      <c r="P199" s="1" t="s">
        <v>51</v>
      </c>
      <c r="Q199" s="1" t="s">
        <v>450</v>
      </c>
      <c r="R199" s="1" t="s">
        <v>61</v>
      </c>
      <c r="S199" s="1" t="s">
        <v>60</v>
      </c>
      <c r="T199" s="1" t="s">
        <v>60</v>
      </c>
      <c r="AR199" s="1" t="s">
        <v>51</v>
      </c>
      <c r="AS199" s="1" t="s">
        <v>51</v>
      </c>
      <c r="AU199" s="1" t="s">
        <v>453</v>
      </c>
      <c r="AV199">
        <v>130</v>
      </c>
    </row>
    <row r="200" spans="1:48" ht="30" customHeight="1" x14ac:dyDescent="0.3">
      <c r="A200" s="5" t="s">
        <v>284</v>
      </c>
      <c r="B200" s="5" t="s">
        <v>285</v>
      </c>
      <c r="C200" s="5" t="s">
        <v>65</v>
      </c>
      <c r="D200" s="6"/>
      <c r="E200" s="8"/>
      <c r="F200" s="8"/>
      <c r="G200" s="8"/>
      <c r="H200" s="8"/>
      <c r="I200" s="8"/>
      <c r="J200" s="8"/>
      <c r="K200" s="8"/>
      <c r="L200" s="8"/>
      <c r="M200" s="5" t="s">
        <v>286</v>
      </c>
      <c r="N200" s="1" t="s">
        <v>287</v>
      </c>
      <c r="O200" s="1" t="s">
        <v>51</v>
      </c>
      <c r="P200" s="1" t="s">
        <v>51</v>
      </c>
      <c r="Q200" s="1" t="s">
        <v>450</v>
      </c>
      <c r="R200" s="1" t="s">
        <v>61</v>
      </c>
      <c r="S200" s="1" t="s">
        <v>60</v>
      </c>
      <c r="T200" s="1" t="s">
        <v>60</v>
      </c>
      <c r="AR200" s="1" t="s">
        <v>51</v>
      </c>
      <c r="AS200" s="1" t="s">
        <v>51</v>
      </c>
      <c r="AU200" s="1" t="s">
        <v>454</v>
      </c>
      <c r="AV200">
        <v>131</v>
      </c>
    </row>
    <row r="201" spans="1:48" ht="30" customHeight="1" x14ac:dyDescent="0.3">
      <c r="A201" s="5" t="s">
        <v>284</v>
      </c>
      <c r="B201" s="5" t="s">
        <v>363</v>
      </c>
      <c r="C201" s="5" t="s">
        <v>65</v>
      </c>
      <c r="D201" s="6"/>
      <c r="E201" s="8"/>
      <c r="F201" s="8"/>
      <c r="G201" s="8"/>
      <c r="H201" s="8"/>
      <c r="I201" s="8"/>
      <c r="J201" s="8"/>
      <c r="K201" s="8"/>
      <c r="L201" s="8"/>
      <c r="M201" s="5" t="s">
        <v>364</v>
      </c>
      <c r="N201" s="1" t="s">
        <v>365</v>
      </c>
      <c r="O201" s="1" t="s">
        <v>51</v>
      </c>
      <c r="P201" s="1" t="s">
        <v>51</v>
      </c>
      <c r="Q201" s="1" t="s">
        <v>450</v>
      </c>
      <c r="R201" s="1" t="s">
        <v>61</v>
      </c>
      <c r="S201" s="1" t="s">
        <v>60</v>
      </c>
      <c r="T201" s="1" t="s">
        <v>60</v>
      </c>
      <c r="AR201" s="1" t="s">
        <v>51</v>
      </c>
      <c r="AS201" s="1" t="s">
        <v>51</v>
      </c>
      <c r="AU201" s="1" t="s">
        <v>455</v>
      </c>
      <c r="AV201">
        <v>132</v>
      </c>
    </row>
    <row r="202" spans="1:48" ht="30" customHeight="1" x14ac:dyDescent="0.3">
      <c r="A202" s="5" t="s">
        <v>284</v>
      </c>
      <c r="B202" s="5" t="s">
        <v>456</v>
      </c>
      <c r="C202" s="5" t="s">
        <v>65</v>
      </c>
      <c r="D202" s="6"/>
      <c r="E202" s="8"/>
      <c r="F202" s="8"/>
      <c r="G202" s="8"/>
      <c r="H202" s="8"/>
      <c r="I202" s="8"/>
      <c r="J202" s="8"/>
      <c r="K202" s="8"/>
      <c r="L202" s="8"/>
      <c r="M202" s="5" t="s">
        <v>457</v>
      </c>
      <c r="N202" s="1" t="s">
        <v>458</v>
      </c>
      <c r="O202" s="1" t="s">
        <v>51</v>
      </c>
      <c r="P202" s="1" t="s">
        <v>51</v>
      </c>
      <c r="Q202" s="1" t="s">
        <v>450</v>
      </c>
      <c r="R202" s="1" t="s">
        <v>61</v>
      </c>
      <c r="S202" s="1" t="s">
        <v>60</v>
      </c>
      <c r="T202" s="1" t="s">
        <v>60</v>
      </c>
      <c r="AR202" s="1" t="s">
        <v>51</v>
      </c>
      <c r="AS202" s="1" t="s">
        <v>51</v>
      </c>
      <c r="AU202" s="1" t="s">
        <v>459</v>
      </c>
      <c r="AV202">
        <v>133</v>
      </c>
    </row>
    <row r="203" spans="1:48" ht="30" customHeight="1" x14ac:dyDescent="0.3">
      <c r="A203" s="5" t="s">
        <v>289</v>
      </c>
      <c r="B203" s="5" t="s">
        <v>290</v>
      </c>
      <c r="C203" s="5" t="s">
        <v>58</v>
      </c>
      <c r="D203" s="6"/>
      <c r="E203" s="8"/>
      <c r="F203" s="8"/>
      <c r="G203" s="8"/>
      <c r="H203" s="8"/>
      <c r="I203" s="8"/>
      <c r="J203" s="8"/>
      <c r="K203" s="8"/>
      <c r="L203" s="8"/>
      <c r="M203" s="5" t="s">
        <v>291</v>
      </c>
      <c r="N203" s="1" t="s">
        <v>292</v>
      </c>
      <c r="O203" s="1" t="s">
        <v>51</v>
      </c>
      <c r="P203" s="1" t="s">
        <v>51</v>
      </c>
      <c r="Q203" s="1" t="s">
        <v>450</v>
      </c>
      <c r="R203" s="1" t="s">
        <v>61</v>
      </c>
      <c r="S203" s="1" t="s">
        <v>60</v>
      </c>
      <c r="T203" s="1" t="s">
        <v>60</v>
      </c>
      <c r="AR203" s="1" t="s">
        <v>51</v>
      </c>
      <c r="AS203" s="1" t="s">
        <v>51</v>
      </c>
      <c r="AU203" s="1" t="s">
        <v>460</v>
      </c>
      <c r="AV203">
        <v>134</v>
      </c>
    </row>
    <row r="204" spans="1:48" ht="30" customHeight="1" x14ac:dyDescent="0.3">
      <c r="A204" s="5" t="s">
        <v>294</v>
      </c>
      <c r="B204" s="5" t="s">
        <v>368</v>
      </c>
      <c r="C204" s="5" t="s">
        <v>58</v>
      </c>
      <c r="D204" s="6"/>
      <c r="E204" s="8"/>
      <c r="F204" s="8"/>
      <c r="G204" s="8"/>
      <c r="H204" s="8"/>
      <c r="I204" s="8"/>
      <c r="J204" s="8"/>
      <c r="K204" s="8"/>
      <c r="L204" s="8"/>
      <c r="M204" s="5" t="s">
        <v>369</v>
      </c>
      <c r="N204" s="1" t="s">
        <v>370</v>
      </c>
      <c r="O204" s="1" t="s">
        <v>51</v>
      </c>
      <c r="P204" s="1" t="s">
        <v>51</v>
      </c>
      <c r="Q204" s="1" t="s">
        <v>450</v>
      </c>
      <c r="R204" s="1" t="s">
        <v>61</v>
      </c>
      <c r="S204" s="1" t="s">
        <v>60</v>
      </c>
      <c r="T204" s="1" t="s">
        <v>60</v>
      </c>
      <c r="AR204" s="1" t="s">
        <v>51</v>
      </c>
      <c r="AS204" s="1" t="s">
        <v>51</v>
      </c>
      <c r="AU204" s="1" t="s">
        <v>461</v>
      </c>
      <c r="AV204">
        <v>135</v>
      </c>
    </row>
    <row r="205" spans="1:48" ht="30" customHeight="1" x14ac:dyDescent="0.3">
      <c r="A205" s="5" t="s">
        <v>372</v>
      </c>
      <c r="B205" s="5" t="s">
        <v>300</v>
      </c>
      <c r="C205" s="5" t="s">
        <v>65</v>
      </c>
      <c r="D205" s="6"/>
      <c r="E205" s="8"/>
      <c r="F205" s="8"/>
      <c r="G205" s="8"/>
      <c r="H205" s="8"/>
      <c r="I205" s="8"/>
      <c r="J205" s="8"/>
      <c r="K205" s="8"/>
      <c r="L205" s="8"/>
      <c r="M205" s="5" t="s">
        <v>373</v>
      </c>
      <c r="N205" s="1" t="s">
        <v>374</v>
      </c>
      <c r="O205" s="1" t="s">
        <v>51</v>
      </c>
      <c r="P205" s="1" t="s">
        <v>51</v>
      </c>
      <c r="Q205" s="1" t="s">
        <v>450</v>
      </c>
      <c r="R205" s="1" t="s">
        <v>61</v>
      </c>
      <c r="S205" s="1" t="s">
        <v>60</v>
      </c>
      <c r="T205" s="1" t="s">
        <v>60</v>
      </c>
      <c r="AR205" s="1" t="s">
        <v>51</v>
      </c>
      <c r="AS205" s="1" t="s">
        <v>51</v>
      </c>
      <c r="AU205" s="1" t="s">
        <v>462</v>
      </c>
      <c r="AV205">
        <v>136</v>
      </c>
    </row>
    <row r="206" spans="1:48" ht="30" customHeight="1" x14ac:dyDescent="0.3">
      <c r="A206" s="5" t="s">
        <v>299</v>
      </c>
      <c r="B206" s="5" t="s">
        <v>300</v>
      </c>
      <c r="C206" s="5" t="s">
        <v>65</v>
      </c>
      <c r="D206" s="6"/>
      <c r="E206" s="8"/>
      <c r="F206" s="8"/>
      <c r="G206" s="8"/>
      <c r="H206" s="8"/>
      <c r="I206" s="8"/>
      <c r="J206" s="8"/>
      <c r="K206" s="8"/>
      <c r="L206" s="8"/>
      <c r="M206" s="5" t="s">
        <v>301</v>
      </c>
      <c r="N206" s="1" t="s">
        <v>302</v>
      </c>
      <c r="O206" s="1" t="s">
        <v>51</v>
      </c>
      <c r="P206" s="1" t="s">
        <v>51</v>
      </c>
      <c r="Q206" s="1" t="s">
        <v>450</v>
      </c>
      <c r="R206" s="1" t="s">
        <v>61</v>
      </c>
      <c r="S206" s="1" t="s">
        <v>60</v>
      </c>
      <c r="T206" s="1" t="s">
        <v>60</v>
      </c>
      <c r="AR206" s="1" t="s">
        <v>51</v>
      </c>
      <c r="AS206" s="1" t="s">
        <v>51</v>
      </c>
      <c r="AU206" s="1" t="s">
        <v>463</v>
      </c>
      <c r="AV206">
        <v>137</v>
      </c>
    </row>
    <row r="207" spans="1:48" ht="30" customHeight="1" x14ac:dyDescent="0.3">
      <c r="A207" s="5" t="s">
        <v>377</v>
      </c>
      <c r="B207" s="5" t="s">
        <v>300</v>
      </c>
      <c r="C207" s="5" t="s">
        <v>65</v>
      </c>
      <c r="D207" s="6"/>
      <c r="E207" s="8"/>
      <c r="F207" s="8"/>
      <c r="G207" s="8"/>
      <c r="H207" s="8"/>
      <c r="I207" s="8"/>
      <c r="J207" s="8"/>
      <c r="K207" s="8"/>
      <c r="L207" s="8"/>
      <c r="M207" s="5" t="s">
        <v>378</v>
      </c>
      <c r="N207" s="1" t="s">
        <v>379</v>
      </c>
      <c r="O207" s="1" t="s">
        <v>51</v>
      </c>
      <c r="P207" s="1" t="s">
        <v>51</v>
      </c>
      <c r="Q207" s="1" t="s">
        <v>450</v>
      </c>
      <c r="R207" s="1" t="s">
        <v>61</v>
      </c>
      <c r="S207" s="1" t="s">
        <v>60</v>
      </c>
      <c r="T207" s="1" t="s">
        <v>60</v>
      </c>
      <c r="AR207" s="1" t="s">
        <v>51</v>
      </c>
      <c r="AS207" s="1" t="s">
        <v>51</v>
      </c>
      <c r="AU207" s="1" t="s">
        <v>464</v>
      </c>
      <c r="AV207">
        <v>138</v>
      </c>
    </row>
    <row r="208" spans="1:48" ht="30" customHeight="1" x14ac:dyDescent="0.3">
      <c r="A208" s="5" t="s">
        <v>381</v>
      </c>
      <c r="B208" s="5" t="s">
        <v>300</v>
      </c>
      <c r="C208" s="5" t="s">
        <v>65</v>
      </c>
      <c r="D208" s="6"/>
      <c r="E208" s="8"/>
      <c r="F208" s="8"/>
      <c r="G208" s="8"/>
      <c r="H208" s="8"/>
      <c r="I208" s="8"/>
      <c r="J208" s="8"/>
      <c r="K208" s="8"/>
      <c r="L208" s="8"/>
      <c r="M208" s="5" t="s">
        <v>382</v>
      </c>
      <c r="N208" s="1" t="s">
        <v>383</v>
      </c>
      <c r="O208" s="1" t="s">
        <v>51</v>
      </c>
      <c r="P208" s="1" t="s">
        <v>51</v>
      </c>
      <c r="Q208" s="1" t="s">
        <v>450</v>
      </c>
      <c r="R208" s="1" t="s">
        <v>61</v>
      </c>
      <c r="S208" s="1" t="s">
        <v>60</v>
      </c>
      <c r="T208" s="1" t="s">
        <v>60</v>
      </c>
      <c r="AR208" s="1" t="s">
        <v>51</v>
      </c>
      <c r="AS208" s="1" t="s">
        <v>51</v>
      </c>
      <c r="AU208" s="1" t="s">
        <v>465</v>
      </c>
      <c r="AV208">
        <v>139</v>
      </c>
    </row>
    <row r="209" spans="1:48" ht="30" customHeight="1" x14ac:dyDescent="0.3">
      <c r="A209" s="5" t="s">
        <v>466</v>
      </c>
      <c r="B209" s="5" t="s">
        <v>300</v>
      </c>
      <c r="C209" s="5" t="s">
        <v>65</v>
      </c>
      <c r="D209" s="6"/>
      <c r="E209" s="8"/>
      <c r="F209" s="8"/>
      <c r="G209" s="8"/>
      <c r="H209" s="8"/>
      <c r="I209" s="8"/>
      <c r="J209" s="8"/>
      <c r="K209" s="8"/>
      <c r="L209" s="8"/>
      <c r="M209" s="5" t="s">
        <v>467</v>
      </c>
      <c r="N209" s="1" t="s">
        <v>468</v>
      </c>
      <c r="O209" s="1" t="s">
        <v>51</v>
      </c>
      <c r="P209" s="1" t="s">
        <v>51</v>
      </c>
      <c r="Q209" s="1" t="s">
        <v>450</v>
      </c>
      <c r="R209" s="1" t="s">
        <v>61</v>
      </c>
      <c r="S209" s="1" t="s">
        <v>60</v>
      </c>
      <c r="T209" s="1" t="s">
        <v>60</v>
      </c>
      <c r="AR209" s="1" t="s">
        <v>51</v>
      </c>
      <c r="AS209" s="1" t="s">
        <v>51</v>
      </c>
      <c r="AU209" s="1" t="s">
        <v>469</v>
      </c>
      <c r="AV209">
        <v>140</v>
      </c>
    </row>
    <row r="210" spans="1:48" ht="30" customHeight="1" x14ac:dyDescent="0.3">
      <c r="A210" s="5" t="s">
        <v>470</v>
      </c>
      <c r="B210" s="5" t="s">
        <v>300</v>
      </c>
      <c r="C210" s="5" t="s">
        <v>65</v>
      </c>
      <c r="D210" s="6"/>
      <c r="E210" s="8"/>
      <c r="F210" s="8"/>
      <c r="G210" s="8"/>
      <c r="H210" s="8"/>
      <c r="I210" s="8"/>
      <c r="J210" s="8"/>
      <c r="K210" s="8"/>
      <c r="L210" s="8"/>
      <c r="M210" s="5" t="s">
        <v>471</v>
      </c>
      <c r="N210" s="1" t="s">
        <v>472</v>
      </c>
      <c r="O210" s="1" t="s">
        <v>51</v>
      </c>
      <c r="P210" s="1" t="s">
        <v>51</v>
      </c>
      <c r="Q210" s="1" t="s">
        <v>450</v>
      </c>
      <c r="R210" s="1" t="s">
        <v>61</v>
      </c>
      <c r="S210" s="1" t="s">
        <v>60</v>
      </c>
      <c r="T210" s="1" t="s">
        <v>60</v>
      </c>
      <c r="AR210" s="1" t="s">
        <v>51</v>
      </c>
      <c r="AS210" s="1" t="s">
        <v>51</v>
      </c>
      <c r="AU210" s="1" t="s">
        <v>473</v>
      </c>
      <c r="AV210">
        <v>141</v>
      </c>
    </row>
    <row r="211" spans="1:48" ht="30" customHeight="1" x14ac:dyDescent="0.3">
      <c r="A211" s="5" t="s">
        <v>385</v>
      </c>
      <c r="B211" s="5" t="s">
        <v>386</v>
      </c>
      <c r="C211" s="5" t="s">
        <v>58</v>
      </c>
      <c r="D211" s="6"/>
      <c r="E211" s="8"/>
      <c r="F211" s="8"/>
      <c r="G211" s="8"/>
      <c r="H211" s="8"/>
      <c r="I211" s="8"/>
      <c r="J211" s="8"/>
      <c r="K211" s="8"/>
      <c r="L211" s="8"/>
      <c r="M211" s="5" t="s">
        <v>387</v>
      </c>
      <c r="N211" s="1" t="s">
        <v>388</v>
      </c>
      <c r="O211" s="1" t="s">
        <v>51</v>
      </c>
      <c r="P211" s="1" t="s">
        <v>51</v>
      </c>
      <c r="Q211" s="1" t="s">
        <v>450</v>
      </c>
      <c r="R211" s="1" t="s">
        <v>61</v>
      </c>
      <c r="S211" s="1" t="s">
        <v>60</v>
      </c>
      <c r="T211" s="1" t="s">
        <v>60</v>
      </c>
      <c r="AR211" s="1" t="s">
        <v>51</v>
      </c>
      <c r="AS211" s="1" t="s">
        <v>51</v>
      </c>
      <c r="AU211" s="1" t="s">
        <v>474</v>
      </c>
      <c r="AV211">
        <v>142</v>
      </c>
    </row>
    <row r="212" spans="1:48" ht="30" customHeight="1" x14ac:dyDescent="0.3">
      <c r="A212" s="5" t="s">
        <v>395</v>
      </c>
      <c r="B212" s="5" t="s">
        <v>396</v>
      </c>
      <c r="C212" s="5" t="s">
        <v>58</v>
      </c>
      <c r="D212" s="6"/>
      <c r="E212" s="8"/>
      <c r="F212" s="8"/>
      <c r="G212" s="8"/>
      <c r="H212" s="8"/>
      <c r="I212" s="8"/>
      <c r="J212" s="8"/>
      <c r="K212" s="8"/>
      <c r="L212" s="8"/>
      <c r="M212" s="5" t="s">
        <v>397</v>
      </c>
      <c r="N212" s="1" t="s">
        <v>398</v>
      </c>
      <c r="O212" s="1" t="s">
        <v>51</v>
      </c>
      <c r="P212" s="1" t="s">
        <v>51</v>
      </c>
      <c r="Q212" s="1" t="s">
        <v>450</v>
      </c>
      <c r="R212" s="1" t="s">
        <v>61</v>
      </c>
      <c r="S212" s="1" t="s">
        <v>60</v>
      </c>
      <c r="T212" s="1" t="s">
        <v>60</v>
      </c>
      <c r="AR212" s="1" t="s">
        <v>51</v>
      </c>
      <c r="AS212" s="1" t="s">
        <v>51</v>
      </c>
      <c r="AU212" s="1" t="s">
        <v>475</v>
      </c>
      <c r="AV212">
        <v>143</v>
      </c>
    </row>
    <row r="213" spans="1:48" ht="30" customHeight="1" x14ac:dyDescent="0.3">
      <c r="A213" s="5" t="s">
        <v>405</v>
      </c>
      <c r="B213" s="5" t="s">
        <v>406</v>
      </c>
      <c r="C213" s="5" t="s">
        <v>58</v>
      </c>
      <c r="D213" s="6"/>
      <c r="E213" s="8"/>
      <c r="F213" s="8"/>
      <c r="G213" s="8"/>
      <c r="H213" s="8"/>
      <c r="I213" s="8"/>
      <c r="J213" s="8"/>
      <c r="K213" s="8"/>
      <c r="L213" s="8"/>
      <c r="M213" s="5" t="s">
        <v>407</v>
      </c>
      <c r="N213" s="1" t="s">
        <v>408</v>
      </c>
      <c r="O213" s="1" t="s">
        <v>51</v>
      </c>
      <c r="P213" s="1" t="s">
        <v>51</v>
      </c>
      <c r="Q213" s="1" t="s">
        <v>450</v>
      </c>
      <c r="R213" s="1" t="s">
        <v>61</v>
      </c>
      <c r="S213" s="1" t="s">
        <v>60</v>
      </c>
      <c r="T213" s="1" t="s">
        <v>60</v>
      </c>
      <c r="AR213" s="1" t="s">
        <v>51</v>
      </c>
      <c r="AS213" s="1" t="s">
        <v>51</v>
      </c>
      <c r="AU213" s="1" t="s">
        <v>476</v>
      </c>
      <c r="AV213">
        <v>144</v>
      </c>
    </row>
    <row r="214" spans="1:48" ht="30" customHeight="1" x14ac:dyDescent="0.3">
      <c r="A214" s="5" t="s">
        <v>477</v>
      </c>
      <c r="B214" s="5" t="s">
        <v>478</v>
      </c>
      <c r="C214" s="5" t="s">
        <v>58</v>
      </c>
      <c r="D214" s="6"/>
      <c r="E214" s="8"/>
      <c r="F214" s="8"/>
      <c r="G214" s="8"/>
      <c r="H214" s="8"/>
      <c r="I214" s="8"/>
      <c r="J214" s="8"/>
      <c r="K214" s="8"/>
      <c r="L214" s="8"/>
      <c r="M214" s="5" t="s">
        <v>479</v>
      </c>
      <c r="N214" s="1" t="s">
        <v>480</v>
      </c>
      <c r="O214" s="1" t="s">
        <v>51</v>
      </c>
      <c r="P214" s="1" t="s">
        <v>51</v>
      </c>
      <c r="Q214" s="1" t="s">
        <v>450</v>
      </c>
      <c r="R214" s="1" t="s">
        <v>61</v>
      </c>
      <c r="S214" s="1" t="s">
        <v>60</v>
      </c>
      <c r="T214" s="1" t="s">
        <v>60</v>
      </c>
      <c r="AR214" s="1" t="s">
        <v>51</v>
      </c>
      <c r="AS214" s="1" t="s">
        <v>51</v>
      </c>
      <c r="AU214" s="1" t="s">
        <v>481</v>
      </c>
      <c r="AV214">
        <v>145</v>
      </c>
    </row>
    <row r="215" spans="1:48" ht="30" customHeight="1" x14ac:dyDescent="0.3">
      <c r="A215" s="5" t="s">
        <v>410</v>
      </c>
      <c r="B215" s="5" t="s">
        <v>411</v>
      </c>
      <c r="C215" s="5" t="s">
        <v>58</v>
      </c>
      <c r="D215" s="6"/>
      <c r="E215" s="8"/>
      <c r="F215" s="8"/>
      <c r="G215" s="8"/>
      <c r="H215" s="8"/>
      <c r="I215" s="8"/>
      <c r="J215" s="8"/>
      <c r="K215" s="8"/>
      <c r="L215" s="8"/>
      <c r="M215" s="5" t="s">
        <v>412</v>
      </c>
      <c r="N215" s="1" t="s">
        <v>413</v>
      </c>
      <c r="O215" s="1" t="s">
        <v>51</v>
      </c>
      <c r="P215" s="1" t="s">
        <v>51</v>
      </c>
      <c r="Q215" s="1" t="s">
        <v>450</v>
      </c>
      <c r="R215" s="1" t="s">
        <v>61</v>
      </c>
      <c r="S215" s="1" t="s">
        <v>60</v>
      </c>
      <c r="T215" s="1" t="s">
        <v>60</v>
      </c>
      <c r="AR215" s="1" t="s">
        <v>51</v>
      </c>
      <c r="AS215" s="1" t="s">
        <v>51</v>
      </c>
      <c r="AU215" s="1" t="s">
        <v>482</v>
      </c>
      <c r="AV215">
        <v>146</v>
      </c>
    </row>
    <row r="216" spans="1:48" ht="30" customHeight="1" x14ac:dyDescent="0.3">
      <c r="A216" s="5" t="s">
        <v>410</v>
      </c>
      <c r="B216" s="5" t="s">
        <v>415</v>
      </c>
      <c r="C216" s="5" t="s">
        <v>58</v>
      </c>
      <c r="D216" s="6"/>
      <c r="E216" s="8"/>
      <c r="F216" s="8"/>
      <c r="G216" s="8"/>
      <c r="H216" s="8"/>
      <c r="I216" s="8"/>
      <c r="J216" s="8"/>
      <c r="K216" s="8"/>
      <c r="L216" s="8"/>
      <c r="M216" s="5" t="s">
        <v>416</v>
      </c>
      <c r="N216" s="1" t="s">
        <v>417</v>
      </c>
      <c r="O216" s="1" t="s">
        <v>51</v>
      </c>
      <c r="P216" s="1" t="s">
        <v>51</v>
      </c>
      <c r="Q216" s="1" t="s">
        <v>450</v>
      </c>
      <c r="R216" s="1" t="s">
        <v>61</v>
      </c>
      <c r="S216" s="1" t="s">
        <v>60</v>
      </c>
      <c r="T216" s="1" t="s">
        <v>60</v>
      </c>
      <c r="AR216" s="1" t="s">
        <v>51</v>
      </c>
      <c r="AS216" s="1" t="s">
        <v>51</v>
      </c>
      <c r="AU216" s="1" t="s">
        <v>483</v>
      </c>
      <c r="AV216">
        <v>147</v>
      </c>
    </row>
    <row r="217" spans="1:48" ht="30" customHeight="1" x14ac:dyDescent="0.3">
      <c r="A217" s="5" t="s">
        <v>410</v>
      </c>
      <c r="B217" s="5" t="s">
        <v>419</v>
      </c>
      <c r="C217" s="5" t="s">
        <v>58</v>
      </c>
      <c r="D217" s="6"/>
      <c r="E217" s="8"/>
      <c r="F217" s="8"/>
      <c r="G217" s="8"/>
      <c r="H217" s="8"/>
      <c r="I217" s="8"/>
      <c r="J217" s="8"/>
      <c r="K217" s="8"/>
      <c r="L217" s="8"/>
      <c r="M217" s="5" t="s">
        <v>420</v>
      </c>
      <c r="N217" s="1" t="s">
        <v>421</v>
      </c>
      <c r="O217" s="1" t="s">
        <v>51</v>
      </c>
      <c r="P217" s="1" t="s">
        <v>51</v>
      </c>
      <c r="Q217" s="1" t="s">
        <v>450</v>
      </c>
      <c r="R217" s="1" t="s">
        <v>61</v>
      </c>
      <c r="S217" s="1" t="s">
        <v>60</v>
      </c>
      <c r="T217" s="1" t="s">
        <v>60</v>
      </c>
      <c r="AR217" s="1" t="s">
        <v>51</v>
      </c>
      <c r="AS217" s="1" t="s">
        <v>51</v>
      </c>
      <c r="AU217" s="1" t="s">
        <v>484</v>
      </c>
      <c r="AV217">
        <v>148</v>
      </c>
    </row>
    <row r="218" spans="1:48" ht="30" customHeight="1" x14ac:dyDescent="0.3">
      <c r="A218" s="5" t="s">
        <v>423</v>
      </c>
      <c r="B218" s="5" t="s">
        <v>424</v>
      </c>
      <c r="C218" s="5" t="s">
        <v>58</v>
      </c>
      <c r="D218" s="6"/>
      <c r="E218" s="8"/>
      <c r="F218" s="8"/>
      <c r="G218" s="8"/>
      <c r="H218" s="8"/>
      <c r="I218" s="8"/>
      <c r="J218" s="8"/>
      <c r="K218" s="8"/>
      <c r="L218" s="8"/>
      <c r="M218" s="5" t="s">
        <v>425</v>
      </c>
      <c r="N218" s="1" t="s">
        <v>426</v>
      </c>
      <c r="O218" s="1" t="s">
        <v>51</v>
      </c>
      <c r="P218" s="1" t="s">
        <v>51</v>
      </c>
      <c r="Q218" s="1" t="s">
        <v>450</v>
      </c>
      <c r="R218" s="1" t="s">
        <v>61</v>
      </c>
      <c r="S218" s="1" t="s">
        <v>60</v>
      </c>
      <c r="T218" s="1" t="s">
        <v>60</v>
      </c>
      <c r="AR218" s="1" t="s">
        <v>51</v>
      </c>
      <c r="AS218" s="1" t="s">
        <v>51</v>
      </c>
      <c r="AU218" s="1" t="s">
        <v>485</v>
      </c>
      <c r="AV218">
        <v>149</v>
      </c>
    </row>
    <row r="219" spans="1:48" ht="30" customHeight="1" x14ac:dyDescent="0.3">
      <c r="A219" s="5" t="s">
        <v>308</v>
      </c>
      <c r="B219" s="5" t="s">
        <v>428</v>
      </c>
      <c r="C219" s="5" t="s">
        <v>58</v>
      </c>
      <c r="D219" s="6"/>
      <c r="E219" s="8"/>
      <c r="F219" s="8"/>
      <c r="G219" s="8"/>
      <c r="H219" s="8"/>
      <c r="I219" s="8"/>
      <c r="J219" s="8"/>
      <c r="K219" s="8"/>
      <c r="L219" s="8"/>
      <c r="M219" s="5" t="s">
        <v>429</v>
      </c>
      <c r="N219" s="1" t="s">
        <v>430</v>
      </c>
      <c r="O219" s="1" t="s">
        <v>51</v>
      </c>
      <c r="P219" s="1" t="s">
        <v>51</v>
      </c>
      <c r="Q219" s="1" t="s">
        <v>450</v>
      </c>
      <c r="R219" s="1" t="s">
        <v>61</v>
      </c>
      <c r="S219" s="1" t="s">
        <v>60</v>
      </c>
      <c r="T219" s="1" t="s">
        <v>60</v>
      </c>
      <c r="AR219" s="1" t="s">
        <v>51</v>
      </c>
      <c r="AS219" s="1" t="s">
        <v>51</v>
      </c>
      <c r="AU219" s="1" t="s">
        <v>486</v>
      </c>
      <c r="AV219">
        <v>150</v>
      </c>
    </row>
    <row r="220" spans="1:48" ht="30" customHeight="1" x14ac:dyDescent="0.3">
      <c r="A220" s="20"/>
      <c r="B220" s="20"/>
      <c r="C220" s="20"/>
      <c r="D220" s="21"/>
      <c r="E220" s="22"/>
      <c r="F220" s="22"/>
      <c r="G220" s="22"/>
      <c r="H220" s="22"/>
      <c r="I220" s="22"/>
      <c r="J220" s="22"/>
      <c r="K220" s="22"/>
      <c r="L220" s="22"/>
      <c r="M220" s="20"/>
      <c r="N220" s="1"/>
      <c r="O220" s="1"/>
      <c r="P220" s="1"/>
      <c r="Q220" s="1"/>
      <c r="R220" s="1"/>
      <c r="S220" s="1"/>
      <c r="T220" s="1"/>
      <c r="AR220" s="1"/>
      <c r="AS220" s="1"/>
      <c r="AU220" s="1"/>
    </row>
    <row r="221" spans="1:48" ht="30" customHeight="1" x14ac:dyDescent="0.3">
      <c r="A221" s="20"/>
      <c r="B221" s="20"/>
      <c r="C221" s="20"/>
      <c r="D221" s="21"/>
      <c r="E221" s="22"/>
      <c r="F221" s="22"/>
      <c r="G221" s="22"/>
      <c r="H221" s="22"/>
      <c r="I221" s="22"/>
      <c r="J221" s="22"/>
      <c r="K221" s="22"/>
      <c r="L221" s="22"/>
      <c r="M221" s="20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8" ht="30" customHeight="1" x14ac:dyDescent="0.3">
      <c r="A222" s="20"/>
      <c r="B222" s="20"/>
      <c r="C222" s="20"/>
      <c r="D222" s="21"/>
      <c r="E222" s="22"/>
      <c r="F222" s="22"/>
      <c r="G222" s="22"/>
      <c r="H222" s="22"/>
      <c r="I222" s="22"/>
      <c r="J222" s="22"/>
      <c r="K222" s="22"/>
      <c r="L222" s="22"/>
      <c r="M222" s="20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8" ht="30" customHeight="1" x14ac:dyDescent="0.3">
      <c r="A223" s="20"/>
      <c r="B223" s="20"/>
      <c r="C223" s="20"/>
      <c r="D223" s="21"/>
      <c r="E223" s="22"/>
      <c r="F223" s="22"/>
      <c r="G223" s="22"/>
      <c r="H223" s="22"/>
      <c r="I223" s="22"/>
      <c r="J223" s="22"/>
      <c r="K223" s="22"/>
      <c r="L223" s="22"/>
      <c r="M223" s="20"/>
      <c r="N223" s="1"/>
      <c r="O223" s="1"/>
      <c r="P223" s="1"/>
      <c r="Q223" s="1"/>
      <c r="R223" s="1"/>
      <c r="S223" s="1"/>
      <c r="T223" s="1"/>
      <c r="AR223" s="1"/>
      <c r="AS223" s="1"/>
      <c r="AU223" s="1"/>
    </row>
    <row r="224" spans="1:48" ht="30" customHeight="1" x14ac:dyDescent="0.3">
      <c r="A224" s="20"/>
      <c r="B224" s="20"/>
      <c r="C224" s="20"/>
      <c r="D224" s="21"/>
      <c r="E224" s="22"/>
      <c r="F224" s="22"/>
      <c r="G224" s="22"/>
      <c r="H224" s="22"/>
      <c r="I224" s="22"/>
      <c r="J224" s="22"/>
      <c r="K224" s="22"/>
      <c r="L224" s="22"/>
      <c r="M224" s="20"/>
      <c r="N224" s="1"/>
      <c r="O224" s="1"/>
      <c r="P224" s="1"/>
      <c r="Q224" s="1"/>
      <c r="R224" s="1"/>
      <c r="S224" s="1"/>
      <c r="T224" s="1"/>
      <c r="AR224" s="1"/>
      <c r="AS224" s="1"/>
      <c r="AU224" s="1"/>
    </row>
    <row r="225" spans="1:47" ht="30" customHeight="1" x14ac:dyDescent="0.3">
      <c r="A225" s="20"/>
      <c r="B225" s="20"/>
      <c r="C225" s="20"/>
      <c r="D225" s="21"/>
      <c r="E225" s="22"/>
      <c r="F225" s="22"/>
      <c r="G225" s="22"/>
      <c r="H225" s="22"/>
      <c r="I225" s="22"/>
      <c r="J225" s="22"/>
      <c r="K225" s="22"/>
      <c r="L225" s="22"/>
      <c r="M225" s="20"/>
      <c r="N225" s="1"/>
      <c r="O225" s="1"/>
      <c r="P225" s="1"/>
      <c r="Q225" s="1"/>
      <c r="R225" s="1"/>
      <c r="S225" s="1"/>
      <c r="T225" s="1"/>
      <c r="AR225" s="1"/>
      <c r="AS225" s="1"/>
      <c r="AU225" s="1"/>
    </row>
    <row r="226" spans="1:47" ht="30" customHeight="1" x14ac:dyDescent="0.3">
      <c r="A226" s="20"/>
      <c r="B226" s="20"/>
      <c r="C226" s="20"/>
      <c r="D226" s="21"/>
      <c r="E226" s="22"/>
      <c r="F226" s="22"/>
      <c r="G226" s="22"/>
      <c r="H226" s="22"/>
      <c r="I226" s="22"/>
      <c r="J226" s="22"/>
      <c r="K226" s="22"/>
      <c r="L226" s="22"/>
      <c r="M226" s="20"/>
      <c r="N226" s="1"/>
      <c r="O226" s="1"/>
      <c r="P226" s="1"/>
      <c r="Q226" s="1"/>
      <c r="R226" s="1"/>
      <c r="S226" s="1"/>
      <c r="T226" s="1"/>
      <c r="AR226" s="1"/>
      <c r="AS226" s="1"/>
      <c r="AU226" s="1"/>
    </row>
    <row r="227" spans="1:47" ht="30" customHeight="1" x14ac:dyDescent="0.3">
      <c r="A227" s="20"/>
      <c r="B227" s="20"/>
      <c r="C227" s="20"/>
      <c r="D227" s="21"/>
      <c r="E227" s="22"/>
      <c r="F227" s="22"/>
      <c r="G227" s="22"/>
      <c r="H227" s="22"/>
      <c r="I227" s="22"/>
      <c r="J227" s="22"/>
      <c r="K227" s="22"/>
      <c r="L227" s="22"/>
      <c r="M227" s="20"/>
      <c r="N227" s="1"/>
      <c r="O227" s="1"/>
      <c r="P227" s="1"/>
      <c r="Q227" s="1"/>
      <c r="R227" s="1"/>
      <c r="S227" s="1"/>
      <c r="T227" s="1"/>
      <c r="AR227" s="1"/>
      <c r="AS227" s="1"/>
      <c r="AU227" s="1"/>
    </row>
    <row r="228" spans="1:47" ht="30" customHeight="1" x14ac:dyDescent="0.3">
      <c r="A228" s="20"/>
      <c r="B228" s="20"/>
      <c r="C228" s="20"/>
      <c r="D228" s="21"/>
      <c r="E228" s="22"/>
      <c r="F228" s="22"/>
      <c r="G228" s="22"/>
      <c r="H228" s="22"/>
      <c r="I228" s="22"/>
      <c r="J228" s="22"/>
      <c r="K228" s="22"/>
      <c r="L228" s="22"/>
      <c r="M228" s="20"/>
      <c r="N228" s="1"/>
      <c r="O228" s="1"/>
      <c r="P228" s="1"/>
      <c r="Q228" s="1"/>
      <c r="R228" s="1"/>
      <c r="S228" s="1"/>
      <c r="T228" s="1"/>
      <c r="AR228" s="1"/>
      <c r="AS228" s="1"/>
      <c r="AU228" s="1"/>
    </row>
    <row r="229" spans="1:47" ht="30" customHeight="1" x14ac:dyDescent="0.3">
      <c r="A229" s="20"/>
      <c r="B229" s="20"/>
      <c r="C229" s="20"/>
      <c r="D229" s="21"/>
      <c r="E229" s="22"/>
      <c r="F229" s="22"/>
      <c r="G229" s="22"/>
      <c r="H229" s="22"/>
      <c r="I229" s="22"/>
      <c r="J229" s="22"/>
      <c r="K229" s="22"/>
      <c r="L229" s="22"/>
      <c r="M229" s="20"/>
      <c r="N229" s="1"/>
      <c r="O229" s="1"/>
      <c r="P229" s="1"/>
      <c r="Q229" s="1"/>
      <c r="R229" s="1"/>
      <c r="S229" s="1"/>
      <c r="T229" s="1"/>
      <c r="AR229" s="1"/>
      <c r="AS229" s="1"/>
      <c r="AU229" s="1"/>
    </row>
    <row r="230" spans="1:47" ht="30" customHeight="1" x14ac:dyDescent="0.3">
      <c r="A230" s="20"/>
      <c r="B230" s="20"/>
      <c r="C230" s="20"/>
      <c r="D230" s="21"/>
      <c r="E230" s="22"/>
      <c r="F230" s="22"/>
      <c r="G230" s="22"/>
      <c r="H230" s="22"/>
      <c r="I230" s="22"/>
      <c r="J230" s="22"/>
      <c r="K230" s="22"/>
      <c r="L230" s="22"/>
      <c r="M230" s="20"/>
      <c r="N230" s="1"/>
      <c r="O230" s="1"/>
      <c r="P230" s="1"/>
      <c r="Q230" s="1"/>
      <c r="R230" s="1"/>
      <c r="S230" s="1"/>
      <c r="T230" s="1"/>
      <c r="AR230" s="1"/>
      <c r="AS230" s="1"/>
      <c r="AU230" s="1"/>
    </row>
    <row r="231" spans="1:47" ht="30" customHeight="1" x14ac:dyDescent="0.3">
      <c r="A231" s="20"/>
      <c r="B231" s="20"/>
      <c r="C231" s="20"/>
      <c r="D231" s="21"/>
      <c r="E231" s="22"/>
      <c r="F231" s="22"/>
      <c r="G231" s="22"/>
      <c r="H231" s="22"/>
      <c r="I231" s="22"/>
      <c r="J231" s="22"/>
      <c r="K231" s="22"/>
      <c r="L231" s="22"/>
      <c r="M231" s="20"/>
      <c r="N231" s="1"/>
      <c r="O231" s="1"/>
      <c r="P231" s="1"/>
      <c r="Q231" s="1"/>
      <c r="R231" s="1"/>
      <c r="S231" s="1"/>
      <c r="T231" s="1"/>
      <c r="AR231" s="1"/>
      <c r="AS231" s="1"/>
      <c r="AU231" s="1"/>
    </row>
    <row r="232" spans="1:47" ht="30" customHeight="1" x14ac:dyDescent="0.3">
      <c r="A232" s="20"/>
      <c r="B232" s="20"/>
      <c r="C232" s="20"/>
      <c r="D232" s="21"/>
      <c r="E232" s="22"/>
      <c r="F232" s="22"/>
      <c r="G232" s="22"/>
      <c r="H232" s="22"/>
      <c r="I232" s="22"/>
      <c r="J232" s="22"/>
      <c r="K232" s="22"/>
      <c r="L232" s="22"/>
      <c r="M232" s="20"/>
      <c r="N232" s="1"/>
      <c r="O232" s="1"/>
      <c r="P232" s="1"/>
      <c r="Q232" s="1"/>
      <c r="R232" s="1"/>
      <c r="S232" s="1"/>
      <c r="T232" s="1"/>
      <c r="AR232" s="1"/>
      <c r="AS232" s="1"/>
      <c r="AU232" s="1"/>
    </row>
    <row r="233" spans="1:47" ht="30" customHeight="1" x14ac:dyDescent="0.3">
      <c r="A233" s="20"/>
      <c r="B233" s="20"/>
      <c r="C233" s="20"/>
      <c r="D233" s="21"/>
      <c r="E233" s="22"/>
      <c r="F233" s="22"/>
      <c r="G233" s="22"/>
      <c r="H233" s="22"/>
      <c r="I233" s="22"/>
      <c r="J233" s="22"/>
      <c r="K233" s="22"/>
      <c r="L233" s="22"/>
      <c r="M233" s="20"/>
      <c r="N233" s="1"/>
      <c r="O233" s="1"/>
      <c r="P233" s="1"/>
      <c r="Q233" s="1"/>
      <c r="R233" s="1"/>
      <c r="S233" s="1"/>
      <c r="T233" s="1"/>
      <c r="AR233" s="1"/>
      <c r="AS233" s="1"/>
      <c r="AU233" s="1"/>
    </row>
    <row r="234" spans="1:47" ht="30" customHeight="1" x14ac:dyDescent="0.3">
      <c r="A234" s="20"/>
      <c r="B234" s="20"/>
      <c r="C234" s="20"/>
      <c r="D234" s="21"/>
      <c r="E234" s="22"/>
      <c r="F234" s="22"/>
      <c r="G234" s="22"/>
      <c r="H234" s="22"/>
      <c r="I234" s="22"/>
      <c r="J234" s="22"/>
      <c r="K234" s="22"/>
      <c r="L234" s="22"/>
      <c r="M234" s="20"/>
      <c r="N234" s="1"/>
      <c r="O234" s="1"/>
      <c r="P234" s="1"/>
      <c r="Q234" s="1"/>
      <c r="R234" s="1"/>
      <c r="S234" s="1"/>
      <c r="T234" s="1"/>
      <c r="AR234" s="1"/>
      <c r="AS234" s="1"/>
      <c r="AU234" s="1"/>
    </row>
    <row r="235" spans="1:47" ht="30" customHeight="1" x14ac:dyDescent="0.3">
      <c r="A235" s="20"/>
      <c r="B235" s="20"/>
      <c r="C235" s="20"/>
      <c r="D235" s="21"/>
      <c r="E235" s="22"/>
      <c r="F235" s="22"/>
      <c r="G235" s="22"/>
      <c r="H235" s="22"/>
      <c r="I235" s="22"/>
      <c r="J235" s="22"/>
      <c r="K235" s="22"/>
      <c r="L235" s="22"/>
      <c r="M235" s="20"/>
      <c r="N235" s="1"/>
      <c r="O235" s="1"/>
      <c r="P235" s="1"/>
      <c r="Q235" s="1"/>
      <c r="R235" s="1"/>
      <c r="S235" s="1"/>
      <c r="T235" s="1"/>
      <c r="AR235" s="1"/>
      <c r="AS235" s="1"/>
      <c r="AU235" s="1"/>
    </row>
    <row r="236" spans="1:47" ht="30" customHeight="1" x14ac:dyDescent="0.3">
      <c r="A236" s="20"/>
      <c r="B236" s="20"/>
      <c r="C236" s="20"/>
      <c r="D236" s="21"/>
      <c r="E236" s="22"/>
      <c r="F236" s="22"/>
      <c r="G236" s="22"/>
      <c r="H236" s="22"/>
      <c r="I236" s="22"/>
      <c r="J236" s="22"/>
      <c r="K236" s="22"/>
      <c r="L236" s="22"/>
      <c r="M236" s="20"/>
      <c r="N236" s="1"/>
      <c r="O236" s="1"/>
      <c r="P236" s="1"/>
      <c r="Q236" s="1"/>
      <c r="R236" s="1"/>
      <c r="S236" s="1"/>
      <c r="T236" s="1"/>
      <c r="AR236" s="1"/>
      <c r="AS236" s="1"/>
      <c r="AU236" s="1"/>
    </row>
    <row r="237" spans="1:47" ht="30" customHeight="1" x14ac:dyDescent="0.3">
      <c r="A237" s="20"/>
      <c r="B237" s="20"/>
      <c r="C237" s="20"/>
      <c r="D237" s="21"/>
      <c r="E237" s="22"/>
      <c r="F237" s="22"/>
      <c r="G237" s="22"/>
      <c r="H237" s="22"/>
      <c r="I237" s="22"/>
      <c r="J237" s="22"/>
      <c r="K237" s="22"/>
      <c r="L237" s="22"/>
      <c r="M237" s="20"/>
      <c r="N237" s="1"/>
      <c r="O237" s="1"/>
      <c r="P237" s="1"/>
      <c r="Q237" s="1"/>
      <c r="R237" s="1"/>
      <c r="S237" s="1"/>
      <c r="T237" s="1"/>
      <c r="AR237" s="1"/>
      <c r="AS237" s="1"/>
      <c r="AU237" s="1"/>
    </row>
    <row r="238" spans="1:47" ht="30" customHeight="1" x14ac:dyDescent="0.3">
      <c r="A238" s="20"/>
      <c r="B238" s="20"/>
      <c r="C238" s="20"/>
      <c r="D238" s="21"/>
      <c r="E238" s="22"/>
      <c r="F238" s="22"/>
      <c r="G238" s="22"/>
      <c r="H238" s="22"/>
      <c r="I238" s="22"/>
      <c r="J238" s="22"/>
      <c r="K238" s="22"/>
      <c r="L238" s="22"/>
      <c r="M238" s="20"/>
      <c r="N238" s="1"/>
      <c r="O238" s="1"/>
      <c r="P238" s="1"/>
      <c r="Q238" s="1"/>
      <c r="R238" s="1"/>
      <c r="S238" s="1"/>
      <c r="T238" s="1"/>
      <c r="AR238" s="1"/>
      <c r="AS238" s="1"/>
      <c r="AU238" s="1"/>
    </row>
    <row r="239" spans="1:47" ht="30" customHeight="1" x14ac:dyDescent="0.3">
      <c r="A239" s="20"/>
      <c r="B239" s="20"/>
      <c r="C239" s="20"/>
      <c r="D239" s="21"/>
      <c r="E239" s="22"/>
      <c r="F239" s="22"/>
      <c r="G239" s="22"/>
      <c r="H239" s="22"/>
      <c r="I239" s="22"/>
      <c r="J239" s="22"/>
      <c r="K239" s="22"/>
      <c r="L239" s="22"/>
      <c r="M239" s="20"/>
      <c r="N239" s="1"/>
      <c r="O239" s="1"/>
      <c r="P239" s="1"/>
      <c r="Q239" s="1"/>
      <c r="R239" s="1"/>
      <c r="S239" s="1"/>
      <c r="T239" s="1"/>
      <c r="AR239" s="1"/>
      <c r="AS239" s="1"/>
      <c r="AU239" s="1"/>
    </row>
    <row r="240" spans="1:47" ht="30" customHeight="1" x14ac:dyDescent="0.3">
      <c r="A240" s="20"/>
      <c r="B240" s="20"/>
      <c r="C240" s="20"/>
      <c r="D240" s="21"/>
      <c r="E240" s="22"/>
      <c r="F240" s="22"/>
      <c r="G240" s="22"/>
      <c r="H240" s="22"/>
      <c r="I240" s="22"/>
      <c r="J240" s="22"/>
      <c r="K240" s="22"/>
      <c r="L240" s="22"/>
      <c r="M240" s="20"/>
      <c r="N240" s="1"/>
      <c r="O240" s="1"/>
      <c r="P240" s="1"/>
      <c r="Q240" s="1"/>
      <c r="R240" s="1"/>
      <c r="S240" s="1"/>
      <c r="T240" s="1"/>
      <c r="AR240" s="1"/>
      <c r="AS240" s="1"/>
      <c r="AU240" s="1"/>
    </row>
    <row r="241" spans="1:48" ht="30" customHeight="1" x14ac:dyDescent="0.3">
      <c r="A241" s="20"/>
      <c r="B241" s="20"/>
      <c r="C241" s="20"/>
      <c r="D241" s="21"/>
      <c r="E241" s="22"/>
      <c r="F241" s="22"/>
      <c r="G241" s="22"/>
      <c r="H241" s="22"/>
      <c r="I241" s="22"/>
      <c r="J241" s="22"/>
      <c r="K241" s="22"/>
      <c r="L241" s="22"/>
      <c r="M241" s="20"/>
      <c r="N241" s="1"/>
      <c r="O241" s="1"/>
      <c r="P241" s="1"/>
      <c r="Q241" s="1"/>
      <c r="R241" s="1"/>
      <c r="S241" s="1"/>
      <c r="T241" s="1"/>
      <c r="AR241" s="1"/>
      <c r="AS241" s="1"/>
      <c r="AU241" s="1"/>
    </row>
    <row r="242" spans="1:48" ht="30" customHeight="1" x14ac:dyDescent="0.3">
      <c r="A242" s="20"/>
      <c r="B242" s="20"/>
      <c r="C242" s="20"/>
      <c r="D242" s="21"/>
      <c r="E242" s="22"/>
      <c r="F242" s="22"/>
      <c r="G242" s="22"/>
      <c r="H242" s="22"/>
      <c r="I242" s="22"/>
      <c r="J242" s="22"/>
      <c r="K242" s="22"/>
      <c r="L242" s="22"/>
      <c r="M242" s="20"/>
      <c r="N242" s="1"/>
      <c r="O242" s="1"/>
      <c r="P242" s="1"/>
      <c r="Q242" s="1"/>
      <c r="R242" s="1"/>
      <c r="S242" s="1"/>
      <c r="T242" s="1"/>
      <c r="AR242" s="1"/>
      <c r="AS242" s="1"/>
      <c r="AU242" s="1"/>
    </row>
    <row r="243" spans="1:48" ht="30" customHeight="1" x14ac:dyDescent="0.3">
      <c r="A243" s="5" t="s">
        <v>207</v>
      </c>
      <c r="B243" s="6"/>
      <c r="C243" s="6"/>
      <c r="D243" s="6"/>
      <c r="E243" s="6"/>
      <c r="F243" s="8"/>
      <c r="G243" s="6"/>
      <c r="H243" s="8"/>
      <c r="I243" s="6"/>
      <c r="J243" s="8"/>
      <c r="K243" s="6"/>
      <c r="L243" s="8"/>
      <c r="M243" s="6"/>
      <c r="N243" t="s">
        <v>208</v>
      </c>
    </row>
    <row r="244" spans="1:48" ht="30" customHeight="1" x14ac:dyDescent="0.3">
      <c r="A244" s="5" t="s">
        <v>2308</v>
      </c>
      <c r="B244" s="5" t="s">
        <v>51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Q244" s="1" t="s">
        <v>508</v>
      </c>
    </row>
    <row r="245" spans="1:48" ht="30" customHeight="1" x14ac:dyDescent="0.3">
      <c r="A245" s="5" t="s">
        <v>280</v>
      </c>
      <c r="B245" s="5" t="s">
        <v>509</v>
      </c>
      <c r="C245" s="5" t="s">
        <v>58</v>
      </c>
      <c r="D245" s="6"/>
      <c r="E245" s="8"/>
      <c r="F245" s="8"/>
      <c r="G245" s="8"/>
      <c r="H245" s="8"/>
      <c r="I245" s="8"/>
      <c r="J245" s="8"/>
      <c r="K245" s="8"/>
      <c r="L245" s="8"/>
      <c r="M245" s="5" t="s">
        <v>51</v>
      </c>
      <c r="N245" s="1" t="s">
        <v>510</v>
      </c>
      <c r="O245" s="1" t="s">
        <v>51</v>
      </c>
      <c r="P245" s="1" t="s">
        <v>51</v>
      </c>
      <c r="Q245" s="1" t="s">
        <v>508</v>
      </c>
      <c r="R245" s="1" t="s">
        <v>60</v>
      </c>
      <c r="S245" s="1" t="s">
        <v>60</v>
      </c>
      <c r="T245" s="1" t="s">
        <v>61</v>
      </c>
      <c r="AR245" s="1" t="s">
        <v>51</v>
      </c>
      <c r="AS245" s="1" t="s">
        <v>51</v>
      </c>
      <c r="AU245" s="1" t="s">
        <v>511</v>
      </c>
      <c r="AV245">
        <v>161</v>
      </c>
    </row>
    <row r="246" spans="1:48" ht="30" customHeight="1" x14ac:dyDescent="0.3">
      <c r="A246" s="5" t="s">
        <v>512</v>
      </c>
      <c r="B246" s="5" t="s">
        <v>513</v>
      </c>
      <c r="C246" s="5" t="s">
        <v>58</v>
      </c>
      <c r="D246" s="6"/>
      <c r="E246" s="8"/>
      <c r="F246" s="8"/>
      <c r="G246" s="8"/>
      <c r="H246" s="8"/>
      <c r="I246" s="8"/>
      <c r="J246" s="8"/>
      <c r="K246" s="8"/>
      <c r="L246" s="8"/>
      <c r="M246" s="5" t="s">
        <v>51</v>
      </c>
      <c r="N246" s="1" t="s">
        <v>514</v>
      </c>
      <c r="O246" s="1" t="s">
        <v>51</v>
      </c>
      <c r="P246" s="1" t="s">
        <v>51</v>
      </c>
      <c r="Q246" s="1" t="s">
        <v>508</v>
      </c>
      <c r="R246" s="1" t="s">
        <v>60</v>
      </c>
      <c r="S246" s="1" t="s">
        <v>60</v>
      </c>
      <c r="T246" s="1" t="s">
        <v>61</v>
      </c>
      <c r="AR246" s="1" t="s">
        <v>51</v>
      </c>
      <c r="AS246" s="1" t="s">
        <v>51</v>
      </c>
      <c r="AU246" s="1" t="s">
        <v>515</v>
      </c>
      <c r="AV246">
        <v>162</v>
      </c>
    </row>
    <row r="247" spans="1:48" ht="30" customHeight="1" x14ac:dyDescent="0.3">
      <c r="A247" s="5" t="s">
        <v>512</v>
      </c>
      <c r="B247" s="5" t="s">
        <v>516</v>
      </c>
      <c r="C247" s="5" t="s">
        <v>58</v>
      </c>
      <c r="D247" s="6"/>
      <c r="E247" s="8"/>
      <c r="F247" s="8"/>
      <c r="G247" s="8"/>
      <c r="H247" s="8"/>
      <c r="I247" s="8"/>
      <c r="J247" s="8"/>
      <c r="K247" s="8"/>
      <c r="L247" s="8"/>
      <c r="M247" s="5" t="s">
        <v>51</v>
      </c>
      <c r="N247" s="1" t="s">
        <v>517</v>
      </c>
      <c r="O247" s="1" t="s">
        <v>51</v>
      </c>
      <c r="P247" s="1" t="s">
        <v>51</v>
      </c>
      <c r="Q247" s="1" t="s">
        <v>508</v>
      </c>
      <c r="R247" s="1" t="s">
        <v>60</v>
      </c>
      <c r="S247" s="1" t="s">
        <v>60</v>
      </c>
      <c r="T247" s="1" t="s">
        <v>61</v>
      </c>
      <c r="AR247" s="1" t="s">
        <v>51</v>
      </c>
      <c r="AS247" s="1" t="s">
        <v>51</v>
      </c>
      <c r="AU247" s="1" t="s">
        <v>518</v>
      </c>
      <c r="AV247">
        <v>163</v>
      </c>
    </row>
    <row r="248" spans="1:48" ht="30" customHeight="1" x14ac:dyDescent="0.3">
      <c r="A248" s="5" t="s">
        <v>357</v>
      </c>
      <c r="B248" s="5" t="s">
        <v>519</v>
      </c>
      <c r="C248" s="5" t="s">
        <v>65</v>
      </c>
      <c r="D248" s="6"/>
      <c r="E248" s="8"/>
      <c r="F248" s="8"/>
      <c r="G248" s="8"/>
      <c r="H248" s="8"/>
      <c r="I248" s="8"/>
      <c r="J248" s="8"/>
      <c r="K248" s="8"/>
      <c r="L248" s="8"/>
      <c r="M248" s="5" t="s">
        <v>520</v>
      </c>
      <c r="N248" s="1" t="s">
        <v>521</v>
      </c>
      <c r="O248" s="1" t="s">
        <v>51</v>
      </c>
      <c r="P248" s="1" t="s">
        <v>51</v>
      </c>
      <c r="Q248" s="1" t="s">
        <v>508</v>
      </c>
      <c r="R248" s="1" t="s">
        <v>61</v>
      </c>
      <c r="S248" s="1" t="s">
        <v>60</v>
      </c>
      <c r="T248" s="1" t="s">
        <v>60</v>
      </c>
      <c r="AR248" s="1" t="s">
        <v>51</v>
      </c>
      <c r="AS248" s="1" t="s">
        <v>51</v>
      </c>
      <c r="AU248" s="1" t="s">
        <v>522</v>
      </c>
      <c r="AV248">
        <v>164</v>
      </c>
    </row>
    <row r="249" spans="1:48" ht="30" customHeight="1" x14ac:dyDescent="0.3">
      <c r="A249" s="5" t="s">
        <v>357</v>
      </c>
      <c r="B249" s="5" t="s">
        <v>523</v>
      </c>
      <c r="C249" s="5" t="s">
        <v>65</v>
      </c>
      <c r="D249" s="6"/>
      <c r="E249" s="8"/>
      <c r="F249" s="8"/>
      <c r="G249" s="8"/>
      <c r="H249" s="8"/>
      <c r="I249" s="8"/>
      <c r="J249" s="8"/>
      <c r="K249" s="8"/>
      <c r="L249" s="8"/>
      <c r="M249" s="5" t="s">
        <v>524</v>
      </c>
      <c r="N249" s="1" t="s">
        <v>525</v>
      </c>
      <c r="O249" s="1" t="s">
        <v>51</v>
      </c>
      <c r="P249" s="1" t="s">
        <v>51</v>
      </c>
      <c r="Q249" s="1" t="s">
        <v>508</v>
      </c>
      <c r="R249" s="1" t="s">
        <v>61</v>
      </c>
      <c r="S249" s="1" t="s">
        <v>60</v>
      </c>
      <c r="T249" s="1" t="s">
        <v>60</v>
      </c>
      <c r="AR249" s="1" t="s">
        <v>51</v>
      </c>
      <c r="AS249" s="1" t="s">
        <v>51</v>
      </c>
      <c r="AU249" s="1" t="s">
        <v>526</v>
      </c>
      <c r="AV249">
        <v>165</v>
      </c>
    </row>
    <row r="250" spans="1:48" ht="30" customHeight="1" x14ac:dyDescent="0.3">
      <c r="A250" s="5" t="s">
        <v>284</v>
      </c>
      <c r="B250" s="5" t="s">
        <v>285</v>
      </c>
      <c r="C250" s="5" t="s">
        <v>65</v>
      </c>
      <c r="D250" s="6"/>
      <c r="E250" s="8"/>
      <c r="F250" s="8"/>
      <c r="G250" s="8"/>
      <c r="H250" s="8"/>
      <c r="I250" s="8"/>
      <c r="J250" s="8"/>
      <c r="K250" s="8"/>
      <c r="L250" s="8"/>
      <c r="M250" s="5" t="s">
        <v>286</v>
      </c>
      <c r="N250" s="1" t="s">
        <v>287</v>
      </c>
      <c r="O250" s="1" t="s">
        <v>51</v>
      </c>
      <c r="P250" s="1" t="s">
        <v>51</v>
      </c>
      <c r="Q250" s="1" t="s">
        <v>508</v>
      </c>
      <c r="R250" s="1" t="s">
        <v>61</v>
      </c>
      <c r="S250" s="1" t="s">
        <v>60</v>
      </c>
      <c r="T250" s="1" t="s">
        <v>60</v>
      </c>
      <c r="AR250" s="1" t="s">
        <v>51</v>
      </c>
      <c r="AS250" s="1" t="s">
        <v>51</v>
      </c>
      <c r="AU250" s="1" t="s">
        <v>527</v>
      </c>
      <c r="AV250">
        <v>166</v>
      </c>
    </row>
    <row r="251" spans="1:48" ht="30" customHeight="1" x14ac:dyDescent="0.3">
      <c r="A251" s="5" t="s">
        <v>284</v>
      </c>
      <c r="B251" s="5" t="s">
        <v>456</v>
      </c>
      <c r="C251" s="5" t="s">
        <v>65</v>
      </c>
      <c r="D251" s="6"/>
      <c r="E251" s="8"/>
      <c r="F251" s="8"/>
      <c r="G251" s="8"/>
      <c r="H251" s="8"/>
      <c r="I251" s="8"/>
      <c r="J251" s="8"/>
      <c r="K251" s="8"/>
      <c r="L251" s="8"/>
      <c r="M251" s="5" t="s">
        <v>457</v>
      </c>
      <c r="N251" s="1" t="s">
        <v>458</v>
      </c>
      <c r="O251" s="1" t="s">
        <v>51</v>
      </c>
      <c r="P251" s="1" t="s">
        <v>51</v>
      </c>
      <c r="Q251" s="1" t="s">
        <v>508</v>
      </c>
      <c r="R251" s="1" t="s">
        <v>61</v>
      </c>
      <c r="S251" s="1" t="s">
        <v>60</v>
      </c>
      <c r="T251" s="1" t="s">
        <v>60</v>
      </c>
      <c r="AR251" s="1" t="s">
        <v>51</v>
      </c>
      <c r="AS251" s="1" t="s">
        <v>51</v>
      </c>
      <c r="AU251" s="1" t="s">
        <v>528</v>
      </c>
      <c r="AV251">
        <v>167</v>
      </c>
    </row>
    <row r="252" spans="1:48" ht="30" customHeight="1" x14ac:dyDescent="0.3">
      <c r="A252" s="5" t="s">
        <v>289</v>
      </c>
      <c r="B252" s="5" t="s">
        <v>290</v>
      </c>
      <c r="C252" s="5" t="s">
        <v>58</v>
      </c>
      <c r="D252" s="6"/>
      <c r="E252" s="8"/>
      <c r="F252" s="8"/>
      <c r="G252" s="8"/>
      <c r="H252" s="8"/>
      <c r="I252" s="8"/>
      <c r="J252" s="8"/>
      <c r="K252" s="8"/>
      <c r="L252" s="8"/>
      <c r="M252" s="5" t="s">
        <v>291</v>
      </c>
      <c r="N252" s="1" t="s">
        <v>292</v>
      </c>
      <c r="O252" s="1" t="s">
        <v>51</v>
      </c>
      <c r="P252" s="1" t="s">
        <v>51</v>
      </c>
      <c r="Q252" s="1" t="s">
        <v>508</v>
      </c>
      <c r="R252" s="1" t="s">
        <v>61</v>
      </c>
      <c r="S252" s="1" t="s">
        <v>60</v>
      </c>
      <c r="T252" s="1" t="s">
        <v>60</v>
      </c>
      <c r="AR252" s="1" t="s">
        <v>51</v>
      </c>
      <c r="AS252" s="1" t="s">
        <v>51</v>
      </c>
      <c r="AU252" s="1" t="s">
        <v>529</v>
      </c>
      <c r="AV252">
        <v>168</v>
      </c>
    </row>
    <row r="253" spans="1:48" ht="30" customHeight="1" x14ac:dyDescent="0.3">
      <c r="A253" s="5" t="s">
        <v>294</v>
      </c>
      <c r="B253" s="5" t="s">
        <v>295</v>
      </c>
      <c r="C253" s="5" t="s">
        <v>58</v>
      </c>
      <c r="D253" s="6"/>
      <c r="E253" s="8"/>
      <c r="F253" s="8"/>
      <c r="G253" s="8"/>
      <c r="H253" s="8"/>
      <c r="I253" s="8"/>
      <c r="J253" s="8"/>
      <c r="K253" s="8"/>
      <c r="L253" s="8"/>
      <c r="M253" s="5" t="s">
        <v>296</v>
      </c>
      <c r="N253" s="1" t="s">
        <v>297</v>
      </c>
      <c r="O253" s="1" t="s">
        <v>51</v>
      </c>
      <c r="P253" s="1" t="s">
        <v>51</v>
      </c>
      <c r="Q253" s="1" t="s">
        <v>508</v>
      </c>
      <c r="R253" s="1" t="s">
        <v>61</v>
      </c>
      <c r="S253" s="1" t="s">
        <v>60</v>
      </c>
      <c r="T253" s="1" t="s">
        <v>60</v>
      </c>
      <c r="AR253" s="1" t="s">
        <v>51</v>
      </c>
      <c r="AS253" s="1" t="s">
        <v>51</v>
      </c>
      <c r="AU253" s="1" t="s">
        <v>530</v>
      </c>
      <c r="AV253">
        <v>169</v>
      </c>
    </row>
    <row r="254" spans="1:48" ht="30" customHeight="1" x14ac:dyDescent="0.3">
      <c r="A254" s="5" t="s">
        <v>106</v>
      </c>
      <c r="B254" s="5" t="s">
        <v>531</v>
      </c>
      <c r="C254" s="5" t="s">
        <v>65</v>
      </c>
      <c r="D254" s="6"/>
      <c r="E254" s="8"/>
      <c r="F254" s="8"/>
      <c r="G254" s="8"/>
      <c r="H254" s="8"/>
      <c r="I254" s="8"/>
      <c r="J254" s="8"/>
      <c r="K254" s="8"/>
      <c r="L254" s="8"/>
      <c r="M254" s="5" t="s">
        <v>532</v>
      </c>
      <c r="N254" s="1" t="s">
        <v>533</v>
      </c>
      <c r="O254" s="1" t="s">
        <v>51</v>
      </c>
      <c r="P254" s="1" t="s">
        <v>51</v>
      </c>
      <c r="Q254" s="1" t="s">
        <v>508</v>
      </c>
      <c r="R254" s="1" t="s">
        <v>61</v>
      </c>
      <c r="S254" s="1" t="s">
        <v>60</v>
      </c>
      <c r="T254" s="1" t="s">
        <v>60</v>
      </c>
      <c r="AR254" s="1" t="s">
        <v>51</v>
      </c>
      <c r="AS254" s="1" t="s">
        <v>51</v>
      </c>
      <c r="AU254" s="1" t="s">
        <v>534</v>
      </c>
      <c r="AV254">
        <v>170</v>
      </c>
    </row>
    <row r="255" spans="1:48" ht="30" customHeight="1" x14ac:dyDescent="0.3">
      <c r="A255" s="5" t="s">
        <v>106</v>
      </c>
      <c r="B255" s="5" t="s">
        <v>260</v>
      </c>
      <c r="C255" s="5" t="s">
        <v>65</v>
      </c>
      <c r="D255" s="6"/>
      <c r="E255" s="8"/>
      <c r="F255" s="8"/>
      <c r="G255" s="8"/>
      <c r="H255" s="8"/>
      <c r="I255" s="8"/>
      <c r="J255" s="8"/>
      <c r="K255" s="8"/>
      <c r="L255" s="8"/>
      <c r="M255" s="5" t="s">
        <v>261</v>
      </c>
      <c r="N255" s="1" t="s">
        <v>262</v>
      </c>
      <c r="O255" s="1" t="s">
        <v>51</v>
      </c>
      <c r="P255" s="1" t="s">
        <v>51</v>
      </c>
      <c r="Q255" s="1" t="s">
        <v>508</v>
      </c>
      <c r="R255" s="1" t="s">
        <v>61</v>
      </c>
      <c r="S255" s="1" t="s">
        <v>60</v>
      </c>
      <c r="T255" s="1" t="s">
        <v>60</v>
      </c>
      <c r="AR255" s="1" t="s">
        <v>51</v>
      </c>
      <c r="AS255" s="1" t="s">
        <v>51</v>
      </c>
      <c r="AU255" s="1" t="s">
        <v>535</v>
      </c>
      <c r="AV255">
        <v>171</v>
      </c>
    </row>
    <row r="256" spans="1:48" ht="30" customHeight="1" x14ac:dyDescent="0.3">
      <c r="A256" s="5" t="s">
        <v>299</v>
      </c>
      <c r="B256" s="5" t="s">
        <v>300</v>
      </c>
      <c r="C256" s="5" t="s">
        <v>65</v>
      </c>
      <c r="D256" s="6"/>
      <c r="E256" s="8"/>
      <c r="F256" s="8"/>
      <c r="G256" s="8"/>
      <c r="H256" s="8"/>
      <c r="I256" s="8"/>
      <c r="J256" s="8"/>
      <c r="K256" s="8"/>
      <c r="L256" s="8"/>
      <c r="M256" s="5" t="s">
        <v>301</v>
      </c>
      <c r="N256" s="1" t="s">
        <v>302</v>
      </c>
      <c r="O256" s="1" t="s">
        <v>51</v>
      </c>
      <c r="P256" s="1" t="s">
        <v>51</v>
      </c>
      <c r="Q256" s="1" t="s">
        <v>508</v>
      </c>
      <c r="R256" s="1" t="s">
        <v>61</v>
      </c>
      <c r="S256" s="1" t="s">
        <v>60</v>
      </c>
      <c r="T256" s="1" t="s">
        <v>60</v>
      </c>
      <c r="AR256" s="1" t="s">
        <v>51</v>
      </c>
      <c r="AS256" s="1" t="s">
        <v>51</v>
      </c>
      <c r="AU256" s="1" t="s">
        <v>536</v>
      </c>
      <c r="AV256">
        <v>172</v>
      </c>
    </row>
    <row r="257" spans="1:48" ht="30" customHeight="1" x14ac:dyDescent="0.3">
      <c r="A257" s="5" t="s">
        <v>308</v>
      </c>
      <c r="B257" s="5" t="s">
        <v>428</v>
      </c>
      <c r="C257" s="5" t="s">
        <v>58</v>
      </c>
      <c r="D257" s="6"/>
      <c r="E257" s="8"/>
      <c r="F257" s="8"/>
      <c r="G257" s="8"/>
      <c r="H257" s="8"/>
      <c r="I257" s="8"/>
      <c r="J257" s="8"/>
      <c r="K257" s="8"/>
      <c r="L257" s="8"/>
      <c r="M257" s="5" t="s">
        <v>429</v>
      </c>
      <c r="N257" s="1" t="s">
        <v>430</v>
      </c>
      <c r="O257" s="1" t="s">
        <v>51</v>
      </c>
      <c r="P257" s="1" t="s">
        <v>51</v>
      </c>
      <c r="Q257" s="1" t="s">
        <v>508</v>
      </c>
      <c r="R257" s="1" t="s">
        <v>61</v>
      </c>
      <c r="S257" s="1" t="s">
        <v>60</v>
      </c>
      <c r="T257" s="1" t="s">
        <v>60</v>
      </c>
      <c r="AR257" s="1" t="s">
        <v>51</v>
      </c>
      <c r="AS257" s="1" t="s">
        <v>51</v>
      </c>
      <c r="AU257" s="1" t="s">
        <v>537</v>
      </c>
      <c r="AV257">
        <v>173</v>
      </c>
    </row>
    <row r="258" spans="1:48" ht="30" customHeight="1" x14ac:dyDescent="0.3">
      <c r="A258" s="5" t="s">
        <v>69</v>
      </c>
      <c r="B258" s="5" t="s">
        <v>538</v>
      </c>
      <c r="C258" s="5" t="s">
        <v>65</v>
      </c>
      <c r="D258" s="6"/>
      <c r="E258" s="8"/>
      <c r="F258" s="8"/>
      <c r="G258" s="8"/>
      <c r="H258" s="8"/>
      <c r="I258" s="8"/>
      <c r="J258" s="8"/>
      <c r="K258" s="8"/>
      <c r="L258" s="8"/>
      <c r="M258" s="5" t="s">
        <v>539</v>
      </c>
      <c r="N258" s="1" t="s">
        <v>540</v>
      </c>
      <c r="O258" s="1" t="s">
        <v>51</v>
      </c>
      <c r="P258" s="1" t="s">
        <v>51</v>
      </c>
      <c r="Q258" s="1" t="s">
        <v>508</v>
      </c>
      <c r="R258" s="1" t="s">
        <v>61</v>
      </c>
      <c r="S258" s="1" t="s">
        <v>60</v>
      </c>
      <c r="T258" s="1" t="s">
        <v>60</v>
      </c>
      <c r="AR258" s="1" t="s">
        <v>51</v>
      </c>
      <c r="AS258" s="1" t="s">
        <v>51</v>
      </c>
      <c r="AU258" s="1" t="s">
        <v>541</v>
      </c>
      <c r="AV258">
        <v>174</v>
      </c>
    </row>
    <row r="259" spans="1:48" ht="30" customHeight="1" x14ac:dyDescent="0.3">
      <c r="A259" s="5" t="s">
        <v>69</v>
      </c>
      <c r="B259" s="5" t="s">
        <v>188</v>
      </c>
      <c r="C259" s="5" t="s">
        <v>65</v>
      </c>
      <c r="D259" s="6"/>
      <c r="E259" s="8"/>
      <c r="F259" s="8"/>
      <c r="G259" s="8"/>
      <c r="H259" s="8"/>
      <c r="I259" s="8"/>
      <c r="J259" s="8"/>
      <c r="K259" s="8"/>
      <c r="L259" s="8"/>
      <c r="M259" s="5" t="s">
        <v>189</v>
      </c>
      <c r="N259" s="1" t="s">
        <v>190</v>
      </c>
      <c r="O259" s="1" t="s">
        <v>51</v>
      </c>
      <c r="P259" s="1" t="s">
        <v>51</v>
      </c>
      <c r="Q259" s="1" t="s">
        <v>508</v>
      </c>
      <c r="R259" s="1" t="s">
        <v>61</v>
      </c>
      <c r="S259" s="1" t="s">
        <v>60</v>
      </c>
      <c r="T259" s="1" t="s">
        <v>60</v>
      </c>
      <c r="AR259" s="1" t="s">
        <v>51</v>
      </c>
      <c r="AS259" s="1" t="s">
        <v>51</v>
      </c>
      <c r="AU259" s="1" t="s">
        <v>542</v>
      </c>
      <c r="AV259">
        <v>175</v>
      </c>
    </row>
    <row r="260" spans="1:48" ht="30" customHeight="1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8" ht="30" customHeight="1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8" ht="30" customHeight="1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8" ht="30" customHeight="1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48" ht="30" customHeight="1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48" ht="30" customHeight="1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 x14ac:dyDescent="0.3">
      <c r="A267" s="5" t="s">
        <v>207</v>
      </c>
      <c r="B267" s="6"/>
      <c r="C267" s="6"/>
      <c r="D267" s="6"/>
      <c r="E267" s="6"/>
      <c r="F267" s="8"/>
      <c r="G267" s="6"/>
      <c r="H267" s="8"/>
      <c r="I267" s="6"/>
      <c r="J267" s="8"/>
      <c r="K267" s="6"/>
      <c r="L267" s="8"/>
      <c r="M267" s="6"/>
      <c r="N267" t="s">
        <v>208</v>
      </c>
    </row>
    <row r="268" spans="1:48" ht="30" customHeight="1" x14ac:dyDescent="0.3">
      <c r="A268" s="5" t="s">
        <v>2309</v>
      </c>
      <c r="B268" s="5" t="s">
        <v>51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Q268" s="1" t="s">
        <v>543</v>
      </c>
    </row>
    <row r="269" spans="1:48" ht="30" customHeight="1" x14ac:dyDescent="0.3">
      <c r="A269" s="5" t="s">
        <v>544</v>
      </c>
      <c r="B269" s="5" t="s">
        <v>545</v>
      </c>
      <c r="C269" s="5" t="s">
        <v>65</v>
      </c>
      <c r="D269" s="6"/>
      <c r="E269" s="8"/>
      <c r="F269" s="8"/>
      <c r="G269" s="8"/>
      <c r="H269" s="8"/>
      <c r="I269" s="8"/>
      <c r="J269" s="8"/>
      <c r="K269" s="8"/>
      <c r="L269" s="8"/>
      <c r="M269" s="5" t="s">
        <v>51</v>
      </c>
      <c r="N269" s="1" t="s">
        <v>546</v>
      </c>
      <c r="O269" s="1" t="s">
        <v>51</v>
      </c>
      <c r="P269" s="1" t="s">
        <v>51</v>
      </c>
      <c r="Q269" s="1" t="s">
        <v>543</v>
      </c>
      <c r="R269" s="1" t="s">
        <v>60</v>
      </c>
      <c r="S269" s="1" t="s">
        <v>60</v>
      </c>
      <c r="T269" s="1" t="s">
        <v>61</v>
      </c>
      <c r="AR269" s="1" t="s">
        <v>51</v>
      </c>
      <c r="AS269" s="1" t="s">
        <v>51</v>
      </c>
      <c r="AU269" s="1" t="s">
        <v>547</v>
      </c>
      <c r="AV269">
        <v>177</v>
      </c>
    </row>
    <row r="270" spans="1:48" ht="30" customHeight="1" x14ac:dyDescent="0.3">
      <c r="A270" s="5" t="s">
        <v>544</v>
      </c>
      <c r="B270" s="5" t="s">
        <v>548</v>
      </c>
      <c r="C270" s="5" t="s">
        <v>65</v>
      </c>
      <c r="D270" s="6"/>
      <c r="E270" s="8"/>
      <c r="F270" s="8"/>
      <c r="G270" s="8"/>
      <c r="H270" s="8"/>
      <c r="I270" s="8"/>
      <c r="J270" s="8"/>
      <c r="K270" s="8"/>
      <c r="L270" s="8"/>
      <c r="M270" s="5" t="s">
        <v>51</v>
      </c>
      <c r="N270" s="1" t="s">
        <v>549</v>
      </c>
      <c r="O270" s="1" t="s">
        <v>51</v>
      </c>
      <c r="P270" s="1" t="s">
        <v>51</v>
      </c>
      <c r="Q270" s="1" t="s">
        <v>543</v>
      </c>
      <c r="R270" s="1" t="s">
        <v>60</v>
      </c>
      <c r="S270" s="1" t="s">
        <v>60</v>
      </c>
      <c r="T270" s="1" t="s">
        <v>61</v>
      </c>
      <c r="AR270" s="1" t="s">
        <v>51</v>
      </c>
      <c r="AS270" s="1" t="s">
        <v>51</v>
      </c>
      <c r="AU270" s="1" t="s">
        <v>550</v>
      </c>
      <c r="AV270">
        <v>248</v>
      </c>
    </row>
    <row r="271" spans="1:48" ht="30" customHeight="1" x14ac:dyDescent="0.3">
      <c r="A271" s="5" t="s">
        <v>551</v>
      </c>
      <c r="B271" s="5" t="s">
        <v>552</v>
      </c>
      <c r="C271" s="5" t="s">
        <v>65</v>
      </c>
      <c r="D271" s="6"/>
      <c r="E271" s="8"/>
      <c r="F271" s="8"/>
      <c r="G271" s="8"/>
      <c r="H271" s="8"/>
      <c r="I271" s="8"/>
      <c r="J271" s="8"/>
      <c r="K271" s="8"/>
      <c r="L271" s="8"/>
      <c r="M271" s="5" t="s">
        <v>553</v>
      </c>
      <c r="N271" s="1" t="s">
        <v>554</v>
      </c>
      <c r="O271" s="1" t="s">
        <v>51</v>
      </c>
      <c r="P271" s="1" t="s">
        <v>51</v>
      </c>
      <c r="Q271" s="1" t="s">
        <v>543</v>
      </c>
      <c r="R271" s="1" t="s">
        <v>61</v>
      </c>
      <c r="S271" s="1" t="s">
        <v>60</v>
      </c>
      <c r="T271" s="1" t="s">
        <v>60</v>
      </c>
      <c r="AR271" s="1" t="s">
        <v>51</v>
      </c>
      <c r="AS271" s="1" t="s">
        <v>51</v>
      </c>
      <c r="AU271" s="1" t="s">
        <v>555</v>
      </c>
      <c r="AV271">
        <v>178</v>
      </c>
    </row>
    <row r="272" spans="1:48" ht="30" customHeight="1" x14ac:dyDescent="0.3">
      <c r="A272" s="5" t="s">
        <v>556</v>
      </c>
      <c r="B272" s="5" t="s">
        <v>557</v>
      </c>
      <c r="C272" s="5" t="s">
        <v>88</v>
      </c>
      <c r="D272" s="6"/>
      <c r="E272" s="8"/>
      <c r="F272" s="8"/>
      <c r="G272" s="8"/>
      <c r="H272" s="8"/>
      <c r="I272" s="8"/>
      <c r="J272" s="8"/>
      <c r="K272" s="8"/>
      <c r="L272" s="8"/>
      <c r="M272" s="5" t="s">
        <v>558</v>
      </c>
      <c r="N272" s="1" t="s">
        <v>559</v>
      </c>
      <c r="O272" s="1" t="s">
        <v>51</v>
      </c>
      <c r="P272" s="1" t="s">
        <v>51</v>
      </c>
      <c r="Q272" s="1" t="s">
        <v>543</v>
      </c>
      <c r="R272" s="1" t="s">
        <v>61</v>
      </c>
      <c r="S272" s="1" t="s">
        <v>60</v>
      </c>
      <c r="T272" s="1" t="s">
        <v>60</v>
      </c>
      <c r="AR272" s="1" t="s">
        <v>51</v>
      </c>
      <c r="AS272" s="1" t="s">
        <v>51</v>
      </c>
      <c r="AU272" s="1" t="s">
        <v>560</v>
      </c>
      <c r="AV272">
        <v>179</v>
      </c>
    </row>
    <row r="273" spans="1:48" ht="30" customHeight="1" x14ac:dyDescent="0.3">
      <c r="A273" s="5" t="s">
        <v>561</v>
      </c>
      <c r="B273" s="5" t="s">
        <v>562</v>
      </c>
      <c r="C273" s="5" t="s">
        <v>65</v>
      </c>
      <c r="D273" s="6"/>
      <c r="E273" s="8"/>
      <c r="F273" s="8"/>
      <c r="G273" s="8"/>
      <c r="H273" s="8"/>
      <c r="I273" s="8"/>
      <c r="J273" s="8"/>
      <c r="K273" s="8"/>
      <c r="L273" s="8"/>
      <c r="M273" s="5" t="s">
        <v>51</v>
      </c>
      <c r="N273" s="1" t="s">
        <v>563</v>
      </c>
      <c r="O273" s="1" t="s">
        <v>51</v>
      </c>
      <c r="P273" s="1" t="s">
        <v>51</v>
      </c>
      <c r="Q273" s="1" t="s">
        <v>543</v>
      </c>
      <c r="R273" s="1" t="s">
        <v>60</v>
      </c>
      <c r="S273" s="1" t="s">
        <v>60</v>
      </c>
      <c r="T273" s="1" t="s">
        <v>61</v>
      </c>
      <c r="AR273" s="1" t="s">
        <v>51</v>
      </c>
      <c r="AS273" s="1" t="s">
        <v>51</v>
      </c>
      <c r="AU273" s="1" t="s">
        <v>564</v>
      </c>
      <c r="AV273">
        <v>180</v>
      </c>
    </row>
    <row r="274" spans="1:48" ht="30" customHeight="1" x14ac:dyDescent="0.3">
      <c r="A274" s="5" t="s">
        <v>565</v>
      </c>
      <c r="B274" s="5" t="s">
        <v>566</v>
      </c>
      <c r="C274" s="5" t="s">
        <v>65</v>
      </c>
      <c r="D274" s="6"/>
      <c r="E274" s="8"/>
      <c r="F274" s="8"/>
      <c r="G274" s="8"/>
      <c r="H274" s="8"/>
      <c r="I274" s="8"/>
      <c r="J274" s="8"/>
      <c r="K274" s="8"/>
      <c r="L274" s="8"/>
      <c r="M274" s="5" t="s">
        <v>51</v>
      </c>
      <c r="N274" s="1" t="s">
        <v>567</v>
      </c>
      <c r="O274" s="1" t="s">
        <v>51</v>
      </c>
      <c r="P274" s="1" t="s">
        <v>51</v>
      </c>
      <c r="Q274" s="1" t="s">
        <v>543</v>
      </c>
      <c r="R274" s="1" t="s">
        <v>60</v>
      </c>
      <c r="S274" s="1" t="s">
        <v>60</v>
      </c>
      <c r="T274" s="1" t="s">
        <v>61</v>
      </c>
      <c r="AR274" s="1" t="s">
        <v>51</v>
      </c>
      <c r="AS274" s="1" t="s">
        <v>51</v>
      </c>
      <c r="AU274" s="1" t="s">
        <v>568</v>
      </c>
      <c r="AV274">
        <v>181</v>
      </c>
    </row>
    <row r="275" spans="1:48" ht="30" customHeight="1" x14ac:dyDescent="0.3">
      <c r="A275" s="5" t="s">
        <v>569</v>
      </c>
      <c r="B275" s="5" t="s">
        <v>570</v>
      </c>
      <c r="C275" s="5" t="s">
        <v>65</v>
      </c>
      <c r="D275" s="6"/>
      <c r="E275" s="8"/>
      <c r="F275" s="8"/>
      <c r="G275" s="8"/>
      <c r="H275" s="8"/>
      <c r="I275" s="8"/>
      <c r="J275" s="8"/>
      <c r="K275" s="8"/>
      <c r="L275" s="8"/>
      <c r="M275" s="5" t="s">
        <v>51</v>
      </c>
      <c r="N275" s="1" t="s">
        <v>571</v>
      </c>
      <c r="O275" s="1" t="s">
        <v>51</v>
      </c>
      <c r="P275" s="1" t="s">
        <v>51</v>
      </c>
      <c r="Q275" s="1" t="s">
        <v>543</v>
      </c>
      <c r="R275" s="1" t="s">
        <v>60</v>
      </c>
      <c r="S275" s="1" t="s">
        <v>60</v>
      </c>
      <c r="T275" s="1" t="s">
        <v>61</v>
      </c>
      <c r="AR275" s="1" t="s">
        <v>51</v>
      </c>
      <c r="AS275" s="1" t="s">
        <v>51</v>
      </c>
      <c r="AU275" s="1" t="s">
        <v>572</v>
      </c>
      <c r="AV275">
        <v>182</v>
      </c>
    </row>
    <row r="276" spans="1:48" ht="30" customHeight="1" x14ac:dyDescent="0.3">
      <c r="A276" s="5" t="s">
        <v>551</v>
      </c>
      <c r="B276" s="5" t="s">
        <v>573</v>
      </c>
      <c r="C276" s="5" t="s">
        <v>65</v>
      </c>
      <c r="D276" s="6"/>
      <c r="E276" s="8"/>
      <c r="F276" s="8"/>
      <c r="G276" s="8"/>
      <c r="H276" s="8"/>
      <c r="I276" s="8"/>
      <c r="J276" s="8"/>
      <c r="K276" s="8"/>
      <c r="L276" s="8"/>
      <c r="M276" s="5" t="s">
        <v>574</v>
      </c>
      <c r="N276" s="1" t="s">
        <v>575</v>
      </c>
      <c r="O276" s="1" t="s">
        <v>51</v>
      </c>
      <c r="P276" s="1" t="s">
        <v>51</v>
      </c>
      <c r="Q276" s="1" t="s">
        <v>543</v>
      </c>
      <c r="R276" s="1" t="s">
        <v>61</v>
      </c>
      <c r="S276" s="1" t="s">
        <v>60</v>
      </c>
      <c r="T276" s="1" t="s">
        <v>60</v>
      </c>
      <c r="AR276" s="1" t="s">
        <v>51</v>
      </c>
      <c r="AS276" s="1" t="s">
        <v>51</v>
      </c>
      <c r="AU276" s="1" t="s">
        <v>576</v>
      </c>
      <c r="AV276">
        <v>183</v>
      </c>
    </row>
    <row r="277" spans="1:48" ht="30" customHeight="1" x14ac:dyDescent="0.3">
      <c r="A277" s="5" t="s">
        <v>577</v>
      </c>
      <c r="B277" s="5" t="s">
        <v>578</v>
      </c>
      <c r="C277" s="5" t="s">
        <v>88</v>
      </c>
      <c r="D277" s="6"/>
      <c r="E277" s="8"/>
      <c r="F277" s="8"/>
      <c r="G277" s="8"/>
      <c r="H277" s="8"/>
      <c r="I277" s="8"/>
      <c r="J277" s="8"/>
      <c r="K277" s="8"/>
      <c r="L277" s="8"/>
      <c r="M277" s="5" t="s">
        <v>579</v>
      </c>
      <c r="N277" s="1" t="s">
        <v>580</v>
      </c>
      <c r="O277" s="1" t="s">
        <v>51</v>
      </c>
      <c r="P277" s="1" t="s">
        <v>51</v>
      </c>
      <c r="Q277" s="1" t="s">
        <v>543</v>
      </c>
      <c r="R277" s="1" t="s">
        <v>61</v>
      </c>
      <c r="S277" s="1" t="s">
        <v>60</v>
      </c>
      <c r="T277" s="1" t="s">
        <v>60</v>
      </c>
      <c r="AR277" s="1" t="s">
        <v>51</v>
      </c>
      <c r="AS277" s="1" t="s">
        <v>51</v>
      </c>
      <c r="AU277" s="1" t="s">
        <v>581</v>
      </c>
      <c r="AV277">
        <v>184</v>
      </c>
    </row>
    <row r="278" spans="1:48" ht="30" customHeight="1" x14ac:dyDescent="0.3">
      <c r="A278" s="5" t="s">
        <v>69</v>
      </c>
      <c r="B278" s="5" t="s">
        <v>582</v>
      </c>
      <c r="C278" s="5" t="s">
        <v>65</v>
      </c>
      <c r="D278" s="6"/>
      <c r="E278" s="8"/>
      <c r="F278" s="8"/>
      <c r="G278" s="8"/>
      <c r="H278" s="8"/>
      <c r="I278" s="8"/>
      <c r="J278" s="8"/>
      <c r="K278" s="8"/>
      <c r="L278" s="8"/>
      <c r="M278" s="5" t="s">
        <v>583</v>
      </c>
      <c r="N278" s="1" t="s">
        <v>584</v>
      </c>
      <c r="O278" s="1" t="s">
        <v>51</v>
      </c>
      <c r="P278" s="1" t="s">
        <v>51</v>
      </c>
      <c r="Q278" s="1" t="s">
        <v>543</v>
      </c>
      <c r="R278" s="1" t="s">
        <v>61</v>
      </c>
      <c r="S278" s="1" t="s">
        <v>60</v>
      </c>
      <c r="T278" s="1" t="s">
        <v>60</v>
      </c>
      <c r="AR278" s="1" t="s">
        <v>51</v>
      </c>
      <c r="AS278" s="1" t="s">
        <v>51</v>
      </c>
      <c r="AU278" s="1" t="s">
        <v>585</v>
      </c>
      <c r="AV278">
        <v>185</v>
      </c>
    </row>
    <row r="279" spans="1:48" ht="30" customHeight="1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48" ht="30" customHeight="1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48" ht="30" customHeight="1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48" ht="30" customHeight="1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48" ht="30" customHeight="1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48" ht="30" customHeight="1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48" ht="30" customHeight="1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48" ht="30" customHeight="1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48" ht="30" customHeight="1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48" ht="30" customHeight="1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30" customHeight="1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48" ht="30" customHeight="1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48" ht="30" customHeight="1" x14ac:dyDescent="0.3">
      <c r="A291" s="5" t="s">
        <v>207</v>
      </c>
      <c r="B291" s="6"/>
      <c r="C291" s="6"/>
      <c r="D291" s="6"/>
      <c r="E291" s="6"/>
      <c r="F291" s="8"/>
      <c r="G291" s="6"/>
      <c r="H291" s="8"/>
      <c r="I291" s="6"/>
      <c r="J291" s="8"/>
      <c r="K291" s="6"/>
      <c r="L291" s="8"/>
      <c r="M291" s="6"/>
      <c r="N291" t="s">
        <v>208</v>
      </c>
    </row>
    <row r="292" spans="1:48" ht="30" customHeight="1" x14ac:dyDescent="0.3">
      <c r="A292" s="5" t="s">
        <v>2310</v>
      </c>
      <c r="B292" s="5" t="s">
        <v>51</v>
      </c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Q292" s="1" t="s">
        <v>586</v>
      </c>
    </row>
    <row r="293" spans="1:48" ht="30" customHeight="1" x14ac:dyDescent="0.3">
      <c r="A293" s="5" t="s">
        <v>587</v>
      </c>
      <c r="B293" s="5" t="s">
        <v>588</v>
      </c>
      <c r="C293" s="5" t="s">
        <v>65</v>
      </c>
      <c r="D293" s="6"/>
      <c r="E293" s="8"/>
      <c r="F293" s="8"/>
      <c r="G293" s="8"/>
      <c r="H293" s="8"/>
      <c r="I293" s="8"/>
      <c r="J293" s="8"/>
      <c r="K293" s="8"/>
      <c r="L293" s="8"/>
      <c r="M293" s="5" t="s">
        <v>51</v>
      </c>
      <c r="N293" s="1" t="s">
        <v>589</v>
      </c>
      <c r="O293" s="1" t="s">
        <v>51</v>
      </c>
      <c r="P293" s="1" t="s">
        <v>51</v>
      </c>
      <c r="Q293" s="1" t="s">
        <v>586</v>
      </c>
      <c r="R293" s="1" t="s">
        <v>60</v>
      </c>
      <c r="S293" s="1" t="s">
        <v>60</v>
      </c>
      <c r="T293" s="1" t="s">
        <v>61</v>
      </c>
      <c r="AR293" s="1" t="s">
        <v>51</v>
      </c>
      <c r="AS293" s="1" t="s">
        <v>51</v>
      </c>
      <c r="AU293" s="1" t="s">
        <v>590</v>
      </c>
      <c r="AV293">
        <v>242</v>
      </c>
    </row>
    <row r="294" spans="1:48" ht="30" customHeight="1" x14ac:dyDescent="0.3">
      <c r="A294" s="5" t="s">
        <v>591</v>
      </c>
      <c r="B294" s="5" t="s">
        <v>592</v>
      </c>
      <c r="C294" s="5" t="s">
        <v>65</v>
      </c>
      <c r="D294" s="6"/>
      <c r="E294" s="8"/>
      <c r="F294" s="8"/>
      <c r="G294" s="8"/>
      <c r="H294" s="8"/>
      <c r="I294" s="8"/>
      <c r="J294" s="8"/>
      <c r="K294" s="8"/>
      <c r="L294" s="8"/>
      <c r="M294" s="5" t="s">
        <v>51</v>
      </c>
      <c r="N294" s="1" t="s">
        <v>593</v>
      </c>
      <c r="O294" s="1" t="s">
        <v>51</v>
      </c>
      <c r="P294" s="1" t="s">
        <v>51</v>
      </c>
      <c r="Q294" s="1" t="s">
        <v>586</v>
      </c>
      <c r="R294" s="1" t="s">
        <v>60</v>
      </c>
      <c r="S294" s="1" t="s">
        <v>60</v>
      </c>
      <c r="T294" s="1" t="s">
        <v>61</v>
      </c>
      <c r="AR294" s="1" t="s">
        <v>51</v>
      </c>
      <c r="AS294" s="1" t="s">
        <v>51</v>
      </c>
      <c r="AU294" s="1" t="s">
        <v>594</v>
      </c>
      <c r="AV294">
        <v>188</v>
      </c>
    </row>
    <row r="295" spans="1:48" ht="30" customHeight="1" x14ac:dyDescent="0.3">
      <c r="A295" s="5" t="s">
        <v>595</v>
      </c>
      <c r="B295" s="5" t="s">
        <v>596</v>
      </c>
      <c r="C295" s="5" t="s">
        <v>58</v>
      </c>
      <c r="D295" s="6"/>
      <c r="E295" s="8"/>
      <c r="F295" s="8"/>
      <c r="G295" s="8"/>
      <c r="H295" s="8"/>
      <c r="I295" s="8"/>
      <c r="J295" s="8"/>
      <c r="K295" s="8"/>
      <c r="L295" s="8"/>
      <c r="M295" s="5" t="s">
        <v>51</v>
      </c>
      <c r="N295" s="1" t="s">
        <v>597</v>
      </c>
      <c r="O295" s="1" t="s">
        <v>51</v>
      </c>
      <c r="P295" s="1" t="s">
        <v>51</v>
      </c>
      <c r="Q295" s="1" t="s">
        <v>586</v>
      </c>
      <c r="R295" s="1" t="s">
        <v>60</v>
      </c>
      <c r="S295" s="1" t="s">
        <v>60</v>
      </c>
      <c r="T295" s="1" t="s">
        <v>61</v>
      </c>
      <c r="AR295" s="1" t="s">
        <v>51</v>
      </c>
      <c r="AS295" s="1" t="s">
        <v>51</v>
      </c>
      <c r="AU295" s="1" t="s">
        <v>598</v>
      </c>
      <c r="AV295">
        <v>189</v>
      </c>
    </row>
    <row r="296" spans="1:48" ht="30" customHeight="1" x14ac:dyDescent="0.3">
      <c r="A296" s="5" t="s">
        <v>599</v>
      </c>
      <c r="B296" s="5" t="s">
        <v>600</v>
      </c>
      <c r="C296" s="5" t="s">
        <v>601</v>
      </c>
      <c r="D296" s="6"/>
      <c r="E296" s="8"/>
      <c r="F296" s="8"/>
      <c r="G296" s="8"/>
      <c r="H296" s="8"/>
      <c r="I296" s="8"/>
      <c r="J296" s="8"/>
      <c r="K296" s="8"/>
      <c r="L296" s="8"/>
      <c r="M296" s="5" t="s">
        <v>51</v>
      </c>
      <c r="N296" s="1" t="s">
        <v>602</v>
      </c>
      <c r="O296" s="1" t="s">
        <v>51</v>
      </c>
      <c r="P296" s="1" t="s">
        <v>51</v>
      </c>
      <c r="Q296" s="1" t="s">
        <v>586</v>
      </c>
      <c r="R296" s="1" t="s">
        <v>60</v>
      </c>
      <c r="S296" s="1" t="s">
        <v>60</v>
      </c>
      <c r="T296" s="1" t="s">
        <v>61</v>
      </c>
      <c r="AR296" s="1" t="s">
        <v>51</v>
      </c>
      <c r="AS296" s="1" t="s">
        <v>51</v>
      </c>
      <c r="AU296" s="1" t="s">
        <v>603</v>
      </c>
      <c r="AV296">
        <v>190</v>
      </c>
    </row>
    <row r="297" spans="1:48" ht="30" customHeight="1" x14ac:dyDescent="0.3">
      <c r="A297" s="5" t="s">
        <v>604</v>
      </c>
      <c r="B297" s="5" t="s">
        <v>118</v>
      </c>
      <c r="C297" s="5" t="s">
        <v>58</v>
      </c>
      <c r="D297" s="6"/>
      <c r="E297" s="8"/>
      <c r="F297" s="8"/>
      <c r="G297" s="8"/>
      <c r="H297" s="8"/>
      <c r="I297" s="8"/>
      <c r="J297" s="8"/>
      <c r="K297" s="8"/>
      <c r="L297" s="8"/>
      <c r="M297" s="5" t="s">
        <v>51</v>
      </c>
      <c r="N297" s="1" t="s">
        <v>605</v>
      </c>
      <c r="O297" s="1" t="s">
        <v>51</v>
      </c>
      <c r="P297" s="1" t="s">
        <v>51</v>
      </c>
      <c r="Q297" s="1" t="s">
        <v>586</v>
      </c>
      <c r="R297" s="1" t="s">
        <v>60</v>
      </c>
      <c r="S297" s="1" t="s">
        <v>60</v>
      </c>
      <c r="T297" s="1" t="s">
        <v>61</v>
      </c>
      <c r="AR297" s="1" t="s">
        <v>51</v>
      </c>
      <c r="AS297" s="1" t="s">
        <v>51</v>
      </c>
      <c r="AU297" s="1" t="s">
        <v>606</v>
      </c>
      <c r="AV297">
        <v>191</v>
      </c>
    </row>
    <row r="298" spans="1:48" ht="30" customHeight="1" x14ac:dyDescent="0.3">
      <c r="A298" s="5" t="s">
        <v>607</v>
      </c>
      <c r="B298" s="5" t="s">
        <v>608</v>
      </c>
      <c r="C298" s="5" t="s">
        <v>58</v>
      </c>
      <c r="D298" s="6"/>
      <c r="E298" s="8"/>
      <c r="F298" s="8"/>
      <c r="G298" s="8"/>
      <c r="H298" s="8"/>
      <c r="I298" s="8"/>
      <c r="J298" s="8"/>
      <c r="K298" s="8"/>
      <c r="L298" s="8"/>
      <c r="M298" s="5" t="s">
        <v>51</v>
      </c>
      <c r="N298" s="1" t="s">
        <v>609</v>
      </c>
      <c r="O298" s="1" t="s">
        <v>51</v>
      </c>
      <c r="P298" s="1" t="s">
        <v>51</v>
      </c>
      <c r="Q298" s="1" t="s">
        <v>586</v>
      </c>
      <c r="R298" s="1" t="s">
        <v>60</v>
      </c>
      <c r="S298" s="1" t="s">
        <v>60</v>
      </c>
      <c r="T298" s="1" t="s">
        <v>61</v>
      </c>
      <c r="AR298" s="1" t="s">
        <v>51</v>
      </c>
      <c r="AS298" s="1" t="s">
        <v>51</v>
      </c>
      <c r="AU298" s="1" t="s">
        <v>610</v>
      </c>
      <c r="AV298">
        <v>192</v>
      </c>
    </row>
    <row r="299" spans="1:48" ht="30" customHeight="1" x14ac:dyDescent="0.3">
      <c r="A299" s="5" t="s">
        <v>611</v>
      </c>
      <c r="B299" s="5" t="s">
        <v>612</v>
      </c>
      <c r="C299" s="5" t="s">
        <v>613</v>
      </c>
      <c r="D299" s="6"/>
      <c r="E299" s="8"/>
      <c r="F299" s="8"/>
      <c r="G299" s="8"/>
      <c r="H299" s="8"/>
      <c r="I299" s="8"/>
      <c r="J299" s="8"/>
      <c r="K299" s="8"/>
      <c r="L299" s="8"/>
      <c r="M299" s="5" t="s">
        <v>51</v>
      </c>
      <c r="N299" s="1" t="s">
        <v>614</v>
      </c>
      <c r="O299" s="1" t="s">
        <v>51</v>
      </c>
      <c r="P299" s="1" t="s">
        <v>51</v>
      </c>
      <c r="Q299" s="1" t="s">
        <v>586</v>
      </c>
      <c r="R299" s="1" t="s">
        <v>60</v>
      </c>
      <c r="S299" s="1" t="s">
        <v>60</v>
      </c>
      <c r="T299" s="1" t="s">
        <v>61</v>
      </c>
      <c r="AR299" s="1" t="s">
        <v>51</v>
      </c>
      <c r="AS299" s="1" t="s">
        <v>51</v>
      </c>
      <c r="AU299" s="1" t="s">
        <v>615</v>
      </c>
      <c r="AV299">
        <v>193</v>
      </c>
    </row>
    <row r="300" spans="1:48" ht="30" customHeight="1" x14ac:dyDescent="0.3">
      <c r="A300" s="5" t="s">
        <v>616</v>
      </c>
      <c r="B300" s="5" t="s">
        <v>617</v>
      </c>
      <c r="C300" s="5" t="s">
        <v>58</v>
      </c>
      <c r="D300" s="6"/>
      <c r="E300" s="8"/>
      <c r="F300" s="8"/>
      <c r="G300" s="8"/>
      <c r="H300" s="8"/>
      <c r="I300" s="8"/>
      <c r="J300" s="8"/>
      <c r="K300" s="8"/>
      <c r="L300" s="8"/>
      <c r="M300" s="5" t="s">
        <v>51</v>
      </c>
      <c r="N300" s="1" t="s">
        <v>618</v>
      </c>
      <c r="O300" s="1" t="s">
        <v>51</v>
      </c>
      <c r="P300" s="1" t="s">
        <v>51</v>
      </c>
      <c r="Q300" s="1" t="s">
        <v>586</v>
      </c>
      <c r="R300" s="1" t="s">
        <v>60</v>
      </c>
      <c r="S300" s="1" t="s">
        <v>60</v>
      </c>
      <c r="T300" s="1" t="s">
        <v>61</v>
      </c>
      <c r="AR300" s="1" t="s">
        <v>51</v>
      </c>
      <c r="AS300" s="1" t="s">
        <v>51</v>
      </c>
      <c r="AU300" s="1" t="s">
        <v>619</v>
      </c>
      <c r="AV300">
        <v>194</v>
      </c>
    </row>
    <row r="301" spans="1:48" ht="30" customHeight="1" x14ac:dyDescent="0.3">
      <c r="A301" s="5" t="s">
        <v>620</v>
      </c>
      <c r="B301" s="5" t="s">
        <v>621</v>
      </c>
      <c r="C301" s="5" t="s">
        <v>58</v>
      </c>
      <c r="D301" s="6"/>
      <c r="E301" s="8"/>
      <c r="F301" s="8"/>
      <c r="G301" s="8"/>
      <c r="H301" s="8"/>
      <c r="I301" s="8"/>
      <c r="J301" s="8"/>
      <c r="K301" s="8"/>
      <c r="L301" s="8"/>
      <c r="M301" s="5" t="s">
        <v>51</v>
      </c>
      <c r="N301" s="1" t="s">
        <v>622</v>
      </c>
      <c r="O301" s="1" t="s">
        <v>51</v>
      </c>
      <c r="P301" s="1" t="s">
        <v>51</v>
      </c>
      <c r="Q301" s="1" t="s">
        <v>586</v>
      </c>
      <c r="R301" s="1" t="s">
        <v>60</v>
      </c>
      <c r="S301" s="1" t="s">
        <v>60</v>
      </c>
      <c r="T301" s="1" t="s">
        <v>61</v>
      </c>
      <c r="AR301" s="1" t="s">
        <v>51</v>
      </c>
      <c r="AS301" s="1" t="s">
        <v>51</v>
      </c>
      <c r="AU301" s="1" t="s">
        <v>623</v>
      </c>
      <c r="AV301">
        <v>195</v>
      </c>
    </row>
    <row r="302" spans="1:48" ht="30" customHeight="1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 x14ac:dyDescent="0.3">
      <c r="A315" s="5" t="s">
        <v>207</v>
      </c>
      <c r="B315" s="6"/>
      <c r="C315" s="6"/>
      <c r="D315" s="6"/>
      <c r="E315" s="6"/>
      <c r="F315" s="8"/>
      <c r="G315" s="6"/>
      <c r="H315" s="8"/>
      <c r="I315" s="6"/>
      <c r="J315" s="8"/>
      <c r="K315" s="6"/>
      <c r="L315" s="8"/>
      <c r="M315" s="6"/>
      <c r="N315" t="s">
        <v>208</v>
      </c>
    </row>
    <row r="316" spans="1:48" ht="30" customHeight="1" x14ac:dyDescent="0.3">
      <c r="A316" s="5" t="s">
        <v>2312</v>
      </c>
      <c r="B316" s="5" t="s">
        <v>51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Q316" s="1" t="s">
        <v>626</v>
      </c>
    </row>
    <row r="317" spans="1:48" ht="30" customHeight="1" x14ac:dyDescent="0.3">
      <c r="A317" s="5" t="s">
        <v>627</v>
      </c>
      <c r="B317" s="5" t="s">
        <v>51</v>
      </c>
      <c r="C317" s="5" t="s">
        <v>211</v>
      </c>
      <c r="D317" s="6"/>
      <c r="E317" s="8"/>
      <c r="F317" s="8"/>
      <c r="G317" s="8"/>
      <c r="H317" s="8"/>
      <c r="I317" s="8"/>
      <c r="J317" s="8"/>
      <c r="K317" s="8"/>
      <c r="L317" s="8"/>
      <c r="M317" s="5" t="s">
        <v>51</v>
      </c>
      <c r="N317" s="1" t="s">
        <v>628</v>
      </c>
      <c r="O317" s="1" t="s">
        <v>51</v>
      </c>
      <c r="P317" s="1" t="s">
        <v>51</v>
      </c>
      <c r="Q317" s="1" t="s">
        <v>626</v>
      </c>
      <c r="R317" s="1" t="s">
        <v>60</v>
      </c>
      <c r="S317" s="1" t="s">
        <v>60</v>
      </c>
      <c r="T317" s="1" t="s">
        <v>61</v>
      </c>
      <c r="X317">
        <v>1</v>
      </c>
      <c r="AR317" s="1" t="s">
        <v>51</v>
      </c>
      <c r="AS317" s="1" t="s">
        <v>51</v>
      </c>
      <c r="AU317" s="1" t="s">
        <v>629</v>
      </c>
      <c r="AV317">
        <v>222</v>
      </c>
    </row>
    <row r="318" spans="1:48" ht="30" customHeight="1" x14ac:dyDescent="0.3">
      <c r="A318" s="5" t="s">
        <v>630</v>
      </c>
      <c r="B318" s="5" t="s">
        <v>51</v>
      </c>
      <c r="C318" s="5" t="s">
        <v>631</v>
      </c>
      <c r="D318" s="6"/>
      <c r="E318" s="8"/>
      <c r="F318" s="8"/>
      <c r="G318" s="8"/>
      <c r="H318" s="8"/>
      <c r="I318" s="8"/>
      <c r="J318" s="8"/>
      <c r="K318" s="8"/>
      <c r="L318" s="8"/>
      <c r="M318" s="5" t="s">
        <v>51</v>
      </c>
      <c r="N318" s="1" t="s">
        <v>632</v>
      </c>
      <c r="O318" s="1" t="s">
        <v>51</v>
      </c>
      <c r="P318" s="1" t="s">
        <v>51</v>
      </c>
      <c r="Q318" s="1" t="s">
        <v>626</v>
      </c>
      <c r="R318" s="1" t="s">
        <v>60</v>
      </c>
      <c r="S318" s="1" t="s">
        <v>60</v>
      </c>
      <c r="T318" s="1" t="s">
        <v>61</v>
      </c>
      <c r="X318">
        <v>1</v>
      </c>
      <c r="AR318" s="1" t="s">
        <v>51</v>
      </c>
      <c r="AS318" s="1" t="s">
        <v>51</v>
      </c>
      <c r="AU318" s="1" t="s">
        <v>633</v>
      </c>
      <c r="AV318">
        <v>223</v>
      </c>
    </row>
    <row r="319" spans="1:48" ht="30" customHeight="1" x14ac:dyDescent="0.3">
      <c r="A319" s="5" t="s">
        <v>634</v>
      </c>
      <c r="B319" s="5" t="s">
        <v>51</v>
      </c>
      <c r="C319" s="5" t="s">
        <v>211</v>
      </c>
      <c r="D319" s="6"/>
      <c r="E319" s="8"/>
      <c r="F319" s="8"/>
      <c r="G319" s="8"/>
      <c r="H319" s="8"/>
      <c r="I319" s="8"/>
      <c r="J319" s="8"/>
      <c r="K319" s="8"/>
      <c r="L319" s="8"/>
      <c r="M319" s="5" t="s">
        <v>51</v>
      </c>
      <c r="N319" s="1" t="s">
        <v>635</v>
      </c>
      <c r="O319" s="1" t="s">
        <v>51</v>
      </c>
      <c r="P319" s="1" t="s">
        <v>51</v>
      </c>
      <c r="Q319" s="1" t="s">
        <v>626</v>
      </c>
      <c r="R319" s="1" t="s">
        <v>60</v>
      </c>
      <c r="S319" s="1" t="s">
        <v>60</v>
      </c>
      <c r="T319" s="1" t="s">
        <v>61</v>
      </c>
      <c r="X319">
        <v>1</v>
      </c>
      <c r="AR319" s="1" t="s">
        <v>51</v>
      </c>
      <c r="AS319" s="1" t="s">
        <v>51</v>
      </c>
      <c r="AU319" s="1" t="s">
        <v>636</v>
      </c>
      <c r="AV319">
        <v>224</v>
      </c>
    </row>
    <row r="320" spans="1:48" ht="30" customHeight="1" x14ac:dyDescent="0.3">
      <c r="A320" s="5" t="s">
        <v>637</v>
      </c>
      <c r="B320" s="5" t="s">
        <v>51</v>
      </c>
      <c r="C320" s="5" t="s">
        <v>211</v>
      </c>
      <c r="D320" s="6"/>
      <c r="E320" s="8"/>
      <c r="F320" s="8"/>
      <c r="G320" s="8"/>
      <c r="H320" s="8"/>
      <c r="I320" s="8"/>
      <c r="J320" s="8"/>
      <c r="K320" s="8"/>
      <c r="L320" s="8"/>
      <c r="M320" s="5" t="s">
        <v>51</v>
      </c>
      <c r="N320" s="1" t="s">
        <v>638</v>
      </c>
      <c r="O320" s="1" t="s">
        <v>51</v>
      </c>
      <c r="P320" s="1" t="s">
        <v>51</v>
      </c>
      <c r="Q320" s="1" t="s">
        <v>626</v>
      </c>
      <c r="R320" s="1" t="s">
        <v>60</v>
      </c>
      <c r="S320" s="1" t="s">
        <v>60</v>
      </c>
      <c r="T320" s="1" t="s">
        <v>61</v>
      </c>
      <c r="X320">
        <v>1</v>
      </c>
      <c r="AR320" s="1" t="s">
        <v>51</v>
      </c>
      <c r="AS320" s="1" t="s">
        <v>51</v>
      </c>
      <c r="AU320" s="1" t="s">
        <v>639</v>
      </c>
      <c r="AV320">
        <v>225</v>
      </c>
    </row>
    <row r="321" spans="1:48" ht="30" customHeight="1" x14ac:dyDescent="0.3">
      <c r="A321" s="5" t="s">
        <v>640</v>
      </c>
      <c r="B321" s="5" t="s">
        <v>51</v>
      </c>
      <c r="C321" s="5" t="s">
        <v>211</v>
      </c>
      <c r="D321" s="6"/>
      <c r="E321" s="8"/>
      <c r="F321" s="8"/>
      <c r="G321" s="8"/>
      <c r="H321" s="8"/>
      <c r="I321" s="8"/>
      <c r="J321" s="8"/>
      <c r="K321" s="8"/>
      <c r="L321" s="8"/>
      <c r="M321" s="5" t="s">
        <v>51</v>
      </c>
      <c r="N321" s="1" t="s">
        <v>641</v>
      </c>
      <c r="O321" s="1" t="s">
        <v>51</v>
      </c>
      <c r="P321" s="1" t="s">
        <v>51</v>
      </c>
      <c r="Q321" s="1" t="s">
        <v>626</v>
      </c>
      <c r="R321" s="1" t="s">
        <v>60</v>
      </c>
      <c r="S321" s="1" t="s">
        <v>60</v>
      </c>
      <c r="T321" s="1" t="s">
        <v>61</v>
      </c>
      <c r="X321">
        <v>1</v>
      </c>
      <c r="AR321" s="1" t="s">
        <v>51</v>
      </c>
      <c r="AS321" s="1" t="s">
        <v>51</v>
      </c>
      <c r="AU321" s="1" t="s">
        <v>642</v>
      </c>
      <c r="AV321">
        <v>226</v>
      </c>
    </row>
    <row r="322" spans="1:48" ht="30" customHeight="1" x14ac:dyDescent="0.3">
      <c r="A322" s="5" t="s">
        <v>643</v>
      </c>
      <c r="B322" s="5" t="s">
        <v>51</v>
      </c>
      <c r="C322" s="5" t="s">
        <v>211</v>
      </c>
      <c r="D322" s="6"/>
      <c r="E322" s="8"/>
      <c r="F322" s="8"/>
      <c r="G322" s="8"/>
      <c r="H322" s="8"/>
      <c r="I322" s="8"/>
      <c r="J322" s="8"/>
      <c r="K322" s="8"/>
      <c r="L322" s="8"/>
      <c r="M322" s="5" t="s">
        <v>51</v>
      </c>
      <c r="N322" s="1" t="s">
        <v>644</v>
      </c>
      <c r="O322" s="1" t="s">
        <v>51</v>
      </c>
      <c r="P322" s="1" t="s">
        <v>51</v>
      </c>
      <c r="Q322" s="1" t="s">
        <v>626</v>
      </c>
      <c r="R322" s="1" t="s">
        <v>60</v>
      </c>
      <c r="S322" s="1" t="s">
        <v>60</v>
      </c>
      <c r="T322" s="1" t="s">
        <v>61</v>
      </c>
      <c r="X322">
        <v>1</v>
      </c>
      <c r="AR322" s="1" t="s">
        <v>51</v>
      </c>
      <c r="AS322" s="1" t="s">
        <v>51</v>
      </c>
      <c r="AU322" s="1" t="s">
        <v>645</v>
      </c>
      <c r="AV322">
        <v>227</v>
      </c>
    </row>
    <row r="323" spans="1:48" ht="30" customHeight="1" x14ac:dyDescent="0.3">
      <c r="A323" s="5" t="s">
        <v>646</v>
      </c>
      <c r="B323" s="5" t="s">
        <v>51</v>
      </c>
      <c r="C323" s="5" t="s">
        <v>211</v>
      </c>
      <c r="D323" s="6"/>
      <c r="E323" s="8"/>
      <c r="F323" s="8"/>
      <c r="G323" s="8"/>
      <c r="H323" s="8"/>
      <c r="I323" s="8"/>
      <c r="J323" s="8"/>
      <c r="K323" s="8"/>
      <c r="L323" s="8"/>
      <c r="M323" s="5" t="s">
        <v>51</v>
      </c>
      <c r="N323" s="1" t="s">
        <v>647</v>
      </c>
      <c r="O323" s="1" t="s">
        <v>51</v>
      </c>
      <c r="P323" s="1" t="s">
        <v>51</v>
      </c>
      <c r="Q323" s="1" t="s">
        <v>626</v>
      </c>
      <c r="R323" s="1" t="s">
        <v>60</v>
      </c>
      <c r="S323" s="1" t="s">
        <v>60</v>
      </c>
      <c r="T323" s="1" t="s">
        <v>61</v>
      </c>
      <c r="X323">
        <v>1</v>
      </c>
      <c r="AR323" s="1" t="s">
        <v>51</v>
      </c>
      <c r="AS323" s="1" t="s">
        <v>51</v>
      </c>
      <c r="AU323" s="1" t="s">
        <v>648</v>
      </c>
      <c r="AV323">
        <v>228</v>
      </c>
    </row>
    <row r="324" spans="1:48" ht="30" customHeight="1" x14ac:dyDescent="0.3">
      <c r="A324" s="5" t="s">
        <v>649</v>
      </c>
      <c r="B324" s="5" t="s">
        <v>51</v>
      </c>
      <c r="C324" s="5" t="s">
        <v>211</v>
      </c>
      <c r="D324" s="6"/>
      <c r="E324" s="8"/>
      <c r="F324" s="8"/>
      <c r="G324" s="8"/>
      <c r="H324" s="8"/>
      <c r="I324" s="8"/>
      <c r="J324" s="8"/>
      <c r="K324" s="8"/>
      <c r="L324" s="8"/>
      <c r="M324" s="5" t="s">
        <v>51</v>
      </c>
      <c r="N324" s="1" t="s">
        <v>650</v>
      </c>
      <c r="O324" s="1" t="s">
        <v>51</v>
      </c>
      <c r="P324" s="1" t="s">
        <v>51</v>
      </c>
      <c r="Q324" s="1" t="s">
        <v>626</v>
      </c>
      <c r="R324" s="1" t="s">
        <v>60</v>
      </c>
      <c r="S324" s="1" t="s">
        <v>60</v>
      </c>
      <c r="T324" s="1" t="s">
        <v>61</v>
      </c>
      <c r="X324">
        <v>1</v>
      </c>
      <c r="AR324" s="1" t="s">
        <v>51</v>
      </c>
      <c r="AS324" s="1" t="s">
        <v>51</v>
      </c>
      <c r="AU324" s="1" t="s">
        <v>651</v>
      </c>
      <c r="AV324">
        <v>229</v>
      </c>
    </row>
    <row r="325" spans="1:48" ht="30" customHeight="1" x14ac:dyDescent="0.3">
      <c r="A325" s="5" t="s">
        <v>652</v>
      </c>
      <c r="B325" s="5" t="s">
        <v>51</v>
      </c>
      <c r="C325" s="5" t="s">
        <v>631</v>
      </c>
      <c r="D325" s="6"/>
      <c r="E325" s="8"/>
      <c r="F325" s="8"/>
      <c r="G325" s="8"/>
      <c r="H325" s="8"/>
      <c r="I325" s="8"/>
      <c r="J325" s="8"/>
      <c r="K325" s="8"/>
      <c r="L325" s="8"/>
      <c r="M325" s="5" t="s">
        <v>51</v>
      </c>
      <c r="N325" s="1" t="s">
        <v>653</v>
      </c>
      <c r="O325" s="1" t="s">
        <v>51</v>
      </c>
      <c r="P325" s="1" t="s">
        <v>51</v>
      </c>
      <c r="Q325" s="1" t="s">
        <v>626</v>
      </c>
      <c r="R325" s="1" t="s">
        <v>60</v>
      </c>
      <c r="S325" s="1" t="s">
        <v>60</v>
      </c>
      <c r="T325" s="1" t="s">
        <v>61</v>
      </c>
      <c r="X325">
        <v>1</v>
      </c>
      <c r="AR325" s="1" t="s">
        <v>51</v>
      </c>
      <c r="AS325" s="1" t="s">
        <v>51</v>
      </c>
      <c r="AU325" s="1" t="s">
        <v>654</v>
      </c>
      <c r="AV325">
        <v>230</v>
      </c>
    </row>
    <row r="326" spans="1:48" ht="30" customHeight="1" x14ac:dyDescent="0.3">
      <c r="A326" s="5" t="s">
        <v>655</v>
      </c>
      <c r="B326" s="5" t="s">
        <v>656</v>
      </c>
      <c r="C326" s="5" t="s">
        <v>631</v>
      </c>
      <c r="D326" s="6"/>
      <c r="E326" s="8"/>
      <c r="F326" s="8"/>
      <c r="G326" s="8"/>
      <c r="H326" s="8"/>
      <c r="I326" s="8"/>
      <c r="J326" s="8"/>
      <c r="K326" s="8"/>
      <c r="L326" s="8"/>
      <c r="M326" s="5" t="s">
        <v>51</v>
      </c>
      <c r="N326" s="1" t="s">
        <v>657</v>
      </c>
      <c r="O326" s="1" t="s">
        <v>51</v>
      </c>
      <c r="P326" s="1" t="s">
        <v>51</v>
      </c>
      <c r="Q326" s="1" t="s">
        <v>626</v>
      </c>
      <c r="R326" s="1" t="s">
        <v>60</v>
      </c>
      <c r="S326" s="1" t="s">
        <v>60</v>
      </c>
      <c r="T326" s="1" t="s">
        <v>60</v>
      </c>
      <c r="U326">
        <v>3</v>
      </c>
      <c r="V326">
        <v>0</v>
      </c>
      <c r="W326">
        <v>7.6E-3</v>
      </c>
      <c r="AR326" s="1" t="s">
        <v>51</v>
      </c>
      <c r="AS326" s="1" t="s">
        <v>51</v>
      </c>
      <c r="AU326" s="1" t="s">
        <v>658</v>
      </c>
      <c r="AV326">
        <v>237</v>
      </c>
    </row>
    <row r="327" spans="1:48" ht="30" customHeight="1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48" ht="30" customHeight="1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48" ht="30" customHeight="1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48" ht="30" customHeight="1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48" ht="30" customHeight="1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48" ht="30" customHeight="1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48" ht="30" customHeight="1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48" ht="30" customHeight="1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48" ht="30" customHeight="1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48" ht="30" customHeight="1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 x14ac:dyDescent="0.3">
      <c r="A339" s="5" t="s">
        <v>207</v>
      </c>
      <c r="B339" s="6"/>
      <c r="C339" s="6"/>
      <c r="D339" s="6"/>
      <c r="E339" s="6"/>
      <c r="F339" s="8"/>
      <c r="G339" s="6"/>
      <c r="H339" s="8"/>
      <c r="I339" s="6"/>
      <c r="J339" s="8"/>
      <c r="K339" s="6"/>
      <c r="L339" s="8"/>
      <c r="M339" s="6"/>
      <c r="N339" t="s">
        <v>208</v>
      </c>
    </row>
    <row r="340" spans="1:48" ht="30" customHeight="1" x14ac:dyDescent="0.3">
      <c r="A340" s="5" t="s">
        <v>2313</v>
      </c>
      <c r="B340" s="5" t="s">
        <v>51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Q340" s="1" t="s">
        <v>626</v>
      </c>
    </row>
    <row r="341" spans="1:48" ht="30" customHeight="1" x14ac:dyDescent="0.3">
      <c r="A341" s="20" t="s">
        <v>2280</v>
      </c>
      <c r="B341" s="20" t="s">
        <v>2281</v>
      </c>
      <c r="C341" s="20" t="s">
        <v>58</v>
      </c>
      <c r="D341" s="21"/>
      <c r="E341" s="22"/>
      <c r="F341" s="22"/>
      <c r="G341" s="22"/>
      <c r="H341" s="22"/>
      <c r="I341" s="22"/>
      <c r="J341" s="22"/>
      <c r="K341" s="22"/>
      <c r="L341" s="22"/>
      <c r="M341" s="20" t="s">
        <v>51</v>
      </c>
      <c r="N341" s="1" t="s">
        <v>2279</v>
      </c>
      <c r="O341" s="1" t="s">
        <v>51</v>
      </c>
      <c r="P341" s="1" t="s">
        <v>51</v>
      </c>
      <c r="Q341" s="1" t="s">
        <v>2289</v>
      </c>
      <c r="R341" s="1" t="s">
        <v>60</v>
      </c>
      <c r="S341" s="1" t="s">
        <v>60</v>
      </c>
      <c r="T341" s="1" t="s">
        <v>61</v>
      </c>
      <c r="X341">
        <v>1</v>
      </c>
      <c r="AR341" s="1" t="s">
        <v>51</v>
      </c>
      <c r="AS341" s="1" t="s">
        <v>51</v>
      </c>
      <c r="AU341" s="1" t="s">
        <v>2290</v>
      </c>
      <c r="AV341">
        <v>183</v>
      </c>
    </row>
    <row r="342" spans="1:48" ht="30" customHeight="1" x14ac:dyDescent="0.3">
      <c r="A342" s="20" t="s">
        <v>2284</v>
      </c>
      <c r="B342" s="20" t="s">
        <v>2281</v>
      </c>
      <c r="C342" s="20" t="s">
        <v>58</v>
      </c>
      <c r="D342" s="21"/>
      <c r="E342" s="22"/>
      <c r="F342" s="22"/>
      <c r="G342" s="22"/>
      <c r="H342" s="22"/>
      <c r="I342" s="22"/>
      <c r="J342" s="22"/>
      <c r="K342" s="22"/>
      <c r="L342" s="22"/>
      <c r="M342" s="20" t="s">
        <v>51</v>
      </c>
      <c r="N342" s="1" t="s">
        <v>2283</v>
      </c>
      <c r="O342" s="1" t="s">
        <v>51</v>
      </c>
      <c r="P342" s="1" t="s">
        <v>51</v>
      </c>
      <c r="Q342" s="1" t="s">
        <v>2289</v>
      </c>
      <c r="R342" s="1" t="s">
        <v>60</v>
      </c>
      <c r="S342" s="1" t="s">
        <v>60</v>
      </c>
      <c r="T342" s="1" t="s">
        <v>61</v>
      </c>
      <c r="X342">
        <v>1</v>
      </c>
      <c r="AR342" s="1" t="s">
        <v>51</v>
      </c>
      <c r="AS342" s="1" t="s">
        <v>51</v>
      </c>
      <c r="AU342" s="1" t="s">
        <v>2291</v>
      </c>
      <c r="AV342">
        <v>184</v>
      </c>
    </row>
    <row r="343" spans="1:48" ht="30" customHeight="1" x14ac:dyDescent="0.3">
      <c r="A343" s="20" t="s">
        <v>655</v>
      </c>
      <c r="B343" s="20" t="s">
        <v>701</v>
      </c>
      <c r="C343" s="20" t="s">
        <v>631</v>
      </c>
      <c r="D343" s="21"/>
      <c r="E343" s="22"/>
      <c r="F343" s="22"/>
      <c r="G343" s="22"/>
      <c r="H343" s="22"/>
      <c r="I343" s="22"/>
      <c r="J343" s="22"/>
      <c r="K343" s="22"/>
      <c r="L343" s="22"/>
      <c r="M343" s="20" t="s">
        <v>51</v>
      </c>
      <c r="N343" s="1" t="s">
        <v>2292</v>
      </c>
      <c r="O343" s="1" t="s">
        <v>51</v>
      </c>
      <c r="P343" s="1" t="s">
        <v>51</v>
      </c>
      <c r="Q343" s="1" t="s">
        <v>2289</v>
      </c>
      <c r="R343" s="1" t="s">
        <v>60</v>
      </c>
      <c r="S343" s="1" t="s">
        <v>60</v>
      </c>
      <c r="T343" s="1" t="s">
        <v>60</v>
      </c>
      <c r="U343">
        <v>0</v>
      </c>
      <c r="V343">
        <v>0</v>
      </c>
      <c r="W343">
        <v>5.4000000000000003E-3</v>
      </c>
      <c r="AR343" s="1" t="s">
        <v>51</v>
      </c>
      <c r="AS343" s="1" t="s">
        <v>51</v>
      </c>
      <c r="AU343" s="1" t="s">
        <v>2293</v>
      </c>
      <c r="AV343">
        <v>204</v>
      </c>
    </row>
    <row r="344" spans="1:48" ht="30" customHeight="1" x14ac:dyDescent="0.3">
      <c r="A344" s="5"/>
      <c r="B344" s="5"/>
      <c r="C344" s="5"/>
      <c r="D344" s="6"/>
      <c r="E344" s="8"/>
      <c r="F344" s="8"/>
      <c r="G344" s="8"/>
      <c r="H344" s="8"/>
      <c r="I344" s="8"/>
      <c r="J344" s="8"/>
      <c r="K344" s="8"/>
      <c r="L344" s="8"/>
      <c r="M344" s="5" t="s">
        <v>51</v>
      </c>
      <c r="N344" s="1" t="s">
        <v>638</v>
      </c>
      <c r="O344" s="1" t="s">
        <v>51</v>
      </c>
      <c r="P344" s="1" t="s">
        <v>51</v>
      </c>
      <c r="Q344" s="1" t="s">
        <v>626</v>
      </c>
      <c r="R344" s="1" t="s">
        <v>60</v>
      </c>
      <c r="S344" s="1" t="s">
        <v>60</v>
      </c>
      <c r="T344" s="1" t="s">
        <v>61</v>
      </c>
      <c r="X344">
        <v>1</v>
      </c>
      <c r="AR344" s="1" t="s">
        <v>51</v>
      </c>
      <c r="AS344" s="1" t="s">
        <v>51</v>
      </c>
      <c r="AU344" s="1" t="s">
        <v>639</v>
      </c>
      <c r="AV344">
        <v>225</v>
      </c>
    </row>
    <row r="345" spans="1:48" ht="30" customHeight="1" x14ac:dyDescent="0.3">
      <c r="A345" s="5"/>
      <c r="B345" s="5"/>
      <c r="C345" s="5"/>
      <c r="D345" s="6"/>
      <c r="E345" s="8"/>
      <c r="F345" s="8"/>
      <c r="G345" s="8"/>
      <c r="H345" s="8"/>
      <c r="I345" s="8"/>
      <c r="J345" s="8"/>
      <c r="K345" s="8"/>
      <c r="L345" s="8"/>
      <c r="M345" s="5" t="s">
        <v>51</v>
      </c>
      <c r="N345" s="1" t="s">
        <v>641</v>
      </c>
      <c r="O345" s="1" t="s">
        <v>51</v>
      </c>
      <c r="P345" s="1" t="s">
        <v>51</v>
      </c>
      <c r="Q345" s="1" t="s">
        <v>626</v>
      </c>
      <c r="R345" s="1" t="s">
        <v>60</v>
      </c>
      <c r="S345" s="1" t="s">
        <v>60</v>
      </c>
      <c r="T345" s="1" t="s">
        <v>61</v>
      </c>
      <c r="X345">
        <v>1</v>
      </c>
      <c r="AR345" s="1" t="s">
        <v>51</v>
      </c>
      <c r="AS345" s="1" t="s">
        <v>51</v>
      </c>
      <c r="AU345" s="1" t="s">
        <v>642</v>
      </c>
      <c r="AV345">
        <v>226</v>
      </c>
    </row>
    <row r="346" spans="1:48" ht="30" customHeight="1" x14ac:dyDescent="0.3">
      <c r="A346" s="5"/>
      <c r="B346" s="5"/>
      <c r="C346" s="5"/>
      <c r="D346" s="6"/>
      <c r="E346" s="8"/>
      <c r="F346" s="8"/>
      <c r="G346" s="8"/>
      <c r="H346" s="8"/>
      <c r="I346" s="8"/>
      <c r="J346" s="8"/>
      <c r="K346" s="8"/>
      <c r="L346" s="8"/>
      <c r="M346" s="5" t="s">
        <v>51</v>
      </c>
      <c r="N346" s="1" t="s">
        <v>644</v>
      </c>
      <c r="O346" s="1" t="s">
        <v>51</v>
      </c>
      <c r="P346" s="1" t="s">
        <v>51</v>
      </c>
      <c r="Q346" s="1" t="s">
        <v>626</v>
      </c>
      <c r="R346" s="1" t="s">
        <v>60</v>
      </c>
      <c r="S346" s="1" t="s">
        <v>60</v>
      </c>
      <c r="T346" s="1" t="s">
        <v>61</v>
      </c>
      <c r="X346">
        <v>1</v>
      </c>
      <c r="AR346" s="1" t="s">
        <v>51</v>
      </c>
      <c r="AS346" s="1" t="s">
        <v>51</v>
      </c>
      <c r="AU346" s="1" t="s">
        <v>645</v>
      </c>
      <c r="AV346">
        <v>227</v>
      </c>
    </row>
    <row r="347" spans="1:48" ht="30" customHeight="1" x14ac:dyDescent="0.3">
      <c r="A347" s="5"/>
      <c r="B347" s="5"/>
      <c r="C347" s="5"/>
      <c r="D347" s="6"/>
      <c r="E347" s="8"/>
      <c r="F347" s="8"/>
      <c r="G347" s="8"/>
      <c r="H347" s="8"/>
      <c r="I347" s="8"/>
      <c r="J347" s="8"/>
      <c r="K347" s="8"/>
      <c r="L347" s="8"/>
      <c r="M347" s="5" t="s">
        <v>51</v>
      </c>
      <c r="N347" s="1" t="s">
        <v>647</v>
      </c>
      <c r="O347" s="1" t="s">
        <v>51</v>
      </c>
      <c r="P347" s="1" t="s">
        <v>51</v>
      </c>
      <c r="Q347" s="1" t="s">
        <v>626</v>
      </c>
      <c r="R347" s="1" t="s">
        <v>60</v>
      </c>
      <c r="S347" s="1" t="s">
        <v>60</v>
      </c>
      <c r="T347" s="1" t="s">
        <v>61</v>
      </c>
      <c r="X347">
        <v>1</v>
      </c>
      <c r="AR347" s="1" t="s">
        <v>51</v>
      </c>
      <c r="AS347" s="1" t="s">
        <v>51</v>
      </c>
      <c r="AU347" s="1" t="s">
        <v>648</v>
      </c>
      <c r="AV347">
        <v>228</v>
      </c>
    </row>
    <row r="348" spans="1:48" ht="30" customHeight="1" x14ac:dyDescent="0.3">
      <c r="A348" s="5"/>
      <c r="B348" s="5"/>
      <c r="C348" s="5"/>
      <c r="D348" s="6"/>
      <c r="E348" s="8"/>
      <c r="F348" s="8"/>
      <c r="G348" s="8"/>
      <c r="H348" s="8"/>
      <c r="I348" s="8"/>
      <c r="J348" s="8"/>
      <c r="K348" s="8"/>
      <c r="L348" s="8"/>
      <c r="M348" s="5" t="s">
        <v>51</v>
      </c>
      <c r="N348" s="1" t="s">
        <v>650</v>
      </c>
      <c r="O348" s="1" t="s">
        <v>51</v>
      </c>
      <c r="P348" s="1" t="s">
        <v>51</v>
      </c>
      <c r="Q348" s="1" t="s">
        <v>626</v>
      </c>
      <c r="R348" s="1" t="s">
        <v>60</v>
      </c>
      <c r="S348" s="1" t="s">
        <v>60</v>
      </c>
      <c r="T348" s="1" t="s">
        <v>61</v>
      </c>
      <c r="X348">
        <v>1</v>
      </c>
      <c r="AR348" s="1" t="s">
        <v>51</v>
      </c>
      <c r="AS348" s="1" t="s">
        <v>51</v>
      </c>
      <c r="AU348" s="1" t="s">
        <v>651</v>
      </c>
      <c r="AV348">
        <v>229</v>
      </c>
    </row>
    <row r="349" spans="1:48" ht="30" customHeight="1" x14ac:dyDescent="0.3">
      <c r="A349" s="5"/>
      <c r="B349" s="5"/>
      <c r="C349" s="5"/>
      <c r="D349" s="6"/>
      <c r="E349" s="8"/>
      <c r="F349" s="8"/>
      <c r="G349" s="8"/>
      <c r="H349" s="8"/>
      <c r="I349" s="8"/>
      <c r="J349" s="8"/>
      <c r="K349" s="8"/>
      <c r="L349" s="8"/>
      <c r="M349" s="5" t="s">
        <v>51</v>
      </c>
      <c r="N349" s="1" t="s">
        <v>653</v>
      </c>
      <c r="O349" s="1" t="s">
        <v>51</v>
      </c>
      <c r="P349" s="1" t="s">
        <v>51</v>
      </c>
      <c r="Q349" s="1" t="s">
        <v>626</v>
      </c>
      <c r="R349" s="1" t="s">
        <v>60</v>
      </c>
      <c r="S349" s="1" t="s">
        <v>60</v>
      </c>
      <c r="T349" s="1" t="s">
        <v>61</v>
      </c>
      <c r="X349">
        <v>1</v>
      </c>
      <c r="AR349" s="1" t="s">
        <v>51</v>
      </c>
      <c r="AS349" s="1" t="s">
        <v>51</v>
      </c>
      <c r="AU349" s="1" t="s">
        <v>654</v>
      </c>
      <c r="AV349">
        <v>230</v>
      </c>
    </row>
    <row r="350" spans="1:48" ht="30" customHeight="1" x14ac:dyDescent="0.3">
      <c r="A350" s="5"/>
      <c r="B350" s="5"/>
      <c r="C350" s="5"/>
      <c r="D350" s="6"/>
      <c r="E350" s="8"/>
      <c r="F350" s="8"/>
      <c r="G350" s="8"/>
      <c r="H350" s="8"/>
      <c r="I350" s="8"/>
      <c r="J350" s="8"/>
      <c r="K350" s="8"/>
      <c r="L350" s="8"/>
      <c r="M350" s="5" t="s">
        <v>51</v>
      </c>
      <c r="N350" s="1" t="s">
        <v>657</v>
      </c>
      <c r="O350" s="1" t="s">
        <v>51</v>
      </c>
      <c r="P350" s="1" t="s">
        <v>51</v>
      </c>
      <c r="Q350" s="1" t="s">
        <v>626</v>
      </c>
      <c r="R350" s="1" t="s">
        <v>60</v>
      </c>
      <c r="S350" s="1" t="s">
        <v>60</v>
      </c>
      <c r="T350" s="1" t="s">
        <v>60</v>
      </c>
      <c r="U350">
        <v>3</v>
      </c>
      <c r="V350">
        <v>0</v>
      </c>
      <c r="W350">
        <v>7.6E-3</v>
      </c>
      <c r="AR350" s="1" t="s">
        <v>51</v>
      </c>
      <c r="AS350" s="1" t="s">
        <v>51</v>
      </c>
      <c r="AU350" s="1" t="s">
        <v>658</v>
      </c>
      <c r="AV350">
        <v>237</v>
      </c>
    </row>
    <row r="351" spans="1:48" ht="30" customHeight="1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48" ht="30" customHeight="1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48" ht="30" customHeight="1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48" ht="30" customHeight="1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48" ht="30" customHeight="1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48" ht="30" customHeight="1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48" ht="30" customHeight="1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48" ht="30" customHeight="1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48" ht="30" customHeight="1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48" ht="30" customHeight="1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48" ht="30" customHeight="1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48" ht="30" customHeight="1" x14ac:dyDescent="0.3">
      <c r="A363" s="5" t="s">
        <v>207</v>
      </c>
      <c r="B363" s="6"/>
      <c r="C363" s="6"/>
      <c r="D363" s="6"/>
      <c r="E363" s="6"/>
      <c r="F363" s="8"/>
      <c r="G363" s="6"/>
      <c r="H363" s="8"/>
      <c r="I363" s="6"/>
      <c r="J363" s="8"/>
      <c r="K363" s="6"/>
      <c r="L363" s="8"/>
      <c r="M363" s="6"/>
      <c r="N363" t="s">
        <v>208</v>
      </c>
    </row>
    <row r="364" spans="1:48" ht="30" customHeight="1" x14ac:dyDescent="0.3">
      <c r="A364" s="5" t="s">
        <v>2315</v>
      </c>
      <c r="B364" s="5" t="s">
        <v>51</v>
      </c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Q364" s="1" t="s">
        <v>661</v>
      </c>
    </row>
    <row r="365" spans="1:48" ht="30" customHeight="1" x14ac:dyDescent="0.3">
      <c r="A365" s="5" t="s">
        <v>215</v>
      </c>
      <c r="B365" s="5" t="s">
        <v>51</v>
      </c>
      <c r="C365" s="5" t="s">
        <v>211</v>
      </c>
      <c r="D365" s="6"/>
      <c r="E365" s="8"/>
      <c r="F365" s="8"/>
      <c r="G365" s="8"/>
      <c r="H365" s="8"/>
      <c r="I365" s="8"/>
      <c r="J365" s="8"/>
      <c r="K365" s="8"/>
      <c r="L365" s="8"/>
      <c r="M365" s="5" t="s">
        <v>51</v>
      </c>
      <c r="N365" s="1" t="s">
        <v>662</v>
      </c>
      <c r="O365" s="1" t="s">
        <v>51</v>
      </c>
      <c r="P365" s="1" t="s">
        <v>51</v>
      </c>
      <c r="Q365" s="1" t="s">
        <v>661</v>
      </c>
      <c r="R365" s="1" t="s">
        <v>60</v>
      </c>
      <c r="S365" s="1" t="s">
        <v>60</v>
      </c>
      <c r="T365" s="1" t="s">
        <v>61</v>
      </c>
      <c r="AR365" s="1" t="s">
        <v>51</v>
      </c>
      <c r="AS365" s="1" t="s">
        <v>51</v>
      </c>
      <c r="AU365" s="1" t="s">
        <v>663</v>
      </c>
      <c r="AV365">
        <v>231</v>
      </c>
    </row>
    <row r="366" spans="1:48" ht="30" customHeight="1" x14ac:dyDescent="0.3">
      <c r="A366" s="5" t="s">
        <v>226</v>
      </c>
      <c r="B366" s="5" t="s">
        <v>51</v>
      </c>
      <c r="C366" s="5" t="s">
        <v>211</v>
      </c>
      <c r="D366" s="6"/>
      <c r="E366" s="8"/>
      <c r="F366" s="8"/>
      <c r="G366" s="8"/>
      <c r="H366" s="8"/>
      <c r="I366" s="8"/>
      <c r="J366" s="8"/>
      <c r="K366" s="8"/>
      <c r="L366" s="8"/>
      <c r="M366" s="5" t="s">
        <v>51</v>
      </c>
      <c r="N366" s="1" t="s">
        <v>664</v>
      </c>
      <c r="O366" s="1" t="s">
        <v>51</v>
      </c>
      <c r="P366" s="1" t="s">
        <v>51</v>
      </c>
      <c r="Q366" s="1" t="s">
        <v>661</v>
      </c>
      <c r="R366" s="1" t="s">
        <v>60</v>
      </c>
      <c r="S366" s="1" t="s">
        <v>60</v>
      </c>
      <c r="T366" s="1" t="s">
        <v>61</v>
      </c>
      <c r="AR366" s="1" t="s">
        <v>51</v>
      </c>
      <c r="AS366" s="1" t="s">
        <v>51</v>
      </c>
      <c r="AU366" s="1" t="s">
        <v>665</v>
      </c>
      <c r="AV366">
        <v>232</v>
      </c>
    </row>
    <row r="367" spans="1:48" ht="30" customHeight="1" x14ac:dyDescent="0.3">
      <c r="A367" s="5" t="s">
        <v>230</v>
      </c>
      <c r="B367" s="5" t="s">
        <v>51</v>
      </c>
      <c r="C367" s="5" t="s">
        <v>211</v>
      </c>
      <c r="D367" s="6"/>
      <c r="E367" s="8"/>
      <c r="F367" s="8"/>
      <c r="G367" s="8"/>
      <c r="H367" s="8"/>
      <c r="I367" s="8"/>
      <c r="J367" s="8"/>
      <c r="K367" s="8"/>
      <c r="L367" s="8"/>
      <c r="M367" s="5" t="s">
        <v>51</v>
      </c>
      <c r="N367" s="1" t="s">
        <v>666</v>
      </c>
      <c r="O367" s="1" t="s">
        <v>51</v>
      </c>
      <c r="P367" s="1" t="s">
        <v>51</v>
      </c>
      <c r="Q367" s="1" t="s">
        <v>661</v>
      </c>
      <c r="R367" s="1" t="s">
        <v>60</v>
      </c>
      <c r="S367" s="1" t="s">
        <v>60</v>
      </c>
      <c r="T367" s="1" t="s">
        <v>61</v>
      </c>
      <c r="AR367" s="1" t="s">
        <v>51</v>
      </c>
      <c r="AS367" s="1" t="s">
        <v>51</v>
      </c>
      <c r="AU367" s="1" t="s">
        <v>667</v>
      </c>
      <c r="AV367">
        <v>233</v>
      </c>
    </row>
    <row r="368" spans="1:48" ht="30" customHeight="1" x14ac:dyDescent="0.3">
      <c r="A368" s="5" t="s">
        <v>234</v>
      </c>
      <c r="B368" s="5" t="s">
        <v>51</v>
      </c>
      <c r="C368" s="5" t="s">
        <v>211</v>
      </c>
      <c r="D368" s="6"/>
      <c r="E368" s="8"/>
      <c r="F368" s="8"/>
      <c r="G368" s="8"/>
      <c r="H368" s="8"/>
      <c r="I368" s="8"/>
      <c r="J368" s="8"/>
      <c r="K368" s="8"/>
      <c r="L368" s="8"/>
      <c r="M368" s="5" t="s">
        <v>51</v>
      </c>
      <c r="N368" s="1" t="s">
        <v>668</v>
      </c>
      <c r="O368" s="1" t="s">
        <v>51</v>
      </c>
      <c r="P368" s="1" t="s">
        <v>51</v>
      </c>
      <c r="Q368" s="1" t="s">
        <v>661</v>
      </c>
      <c r="R368" s="1" t="s">
        <v>60</v>
      </c>
      <c r="S368" s="1" t="s">
        <v>60</v>
      </c>
      <c r="T368" s="1" t="s">
        <v>61</v>
      </c>
      <c r="AR368" s="1" t="s">
        <v>51</v>
      </c>
      <c r="AS368" s="1" t="s">
        <v>51</v>
      </c>
      <c r="AU368" s="1" t="s">
        <v>669</v>
      </c>
      <c r="AV368">
        <v>234</v>
      </c>
    </row>
    <row r="369" spans="1:48" ht="30" customHeight="1" x14ac:dyDescent="0.3">
      <c r="A369" s="5" t="s">
        <v>210</v>
      </c>
      <c r="B369" s="5" t="s">
        <v>51</v>
      </c>
      <c r="C369" s="5" t="s">
        <v>211</v>
      </c>
      <c r="D369" s="6"/>
      <c r="E369" s="8"/>
      <c r="F369" s="8"/>
      <c r="G369" s="8"/>
      <c r="H369" s="8"/>
      <c r="I369" s="8"/>
      <c r="J369" s="8"/>
      <c r="K369" s="8"/>
      <c r="L369" s="8"/>
      <c r="M369" s="5" t="s">
        <v>51</v>
      </c>
      <c r="N369" s="1" t="s">
        <v>670</v>
      </c>
      <c r="O369" s="1" t="s">
        <v>51</v>
      </c>
      <c r="P369" s="1" t="s">
        <v>51</v>
      </c>
      <c r="Q369" s="1" t="s">
        <v>661</v>
      </c>
      <c r="R369" s="1" t="s">
        <v>60</v>
      </c>
      <c r="S369" s="1" t="s">
        <v>60</v>
      </c>
      <c r="T369" s="1" t="s">
        <v>61</v>
      </c>
      <c r="AR369" s="1" t="s">
        <v>51</v>
      </c>
      <c r="AS369" s="1" t="s">
        <v>51</v>
      </c>
      <c r="AU369" s="1" t="s">
        <v>671</v>
      </c>
      <c r="AV369">
        <v>235</v>
      </c>
    </row>
    <row r="370" spans="1:48" ht="30" customHeight="1" x14ac:dyDescent="0.3">
      <c r="A370" s="5" t="s">
        <v>238</v>
      </c>
      <c r="B370" s="5" t="s">
        <v>51</v>
      </c>
      <c r="C370" s="5" t="s">
        <v>211</v>
      </c>
      <c r="D370" s="6"/>
      <c r="E370" s="8"/>
      <c r="F370" s="8"/>
      <c r="G370" s="8"/>
      <c r="H370" s="8"/>
      <c r="I370" s="8"/>
      <c r="J370" s="8"/>
      <c r="K370" s="8"/>
      <c r="L370" s="8"/>
      <c r="M370" s="5" t="s">
        <v>51</v>
      </c>
      <c r="N370" s="1" t="s">
        <v>672</v>
      </c>
      <c r="O370" s="1" t="s">
        <v>51</v>
      </c>
      <c r="P370" s="1" t="s">
        <v>51</v>
      </c>
      <c r="Q370" s="1" t="s">
        <v>661</v>
      </c>
      <c r="R370" s="1" t="s">
        <v>60</v>
      </c>
      <c r="S370" s="1" t="s">
        <v>60</v>
      </c>
      <c r="T370" s="1" t="s">
        <v>61</v>
      </c>
      <c r="AR370" s="1" t="s">
        <v>51</v>
      </c>
      <c r="AS370" s="1" t="s">
        <v>51</v>
      </c>
      <c r="AU370" s="1" t="s">
        <v>673</v>
      </c>
      <c r="AV370">
        <v>236</v>
      </c>
    </row>
    <row r="371" spans="1:48" ht="30" customHeight="1" x14ac:dyDescent="0.3">
      <c r="A371" s="5" t="s">
        <v>655</v>
      </c>
      <c r="B371" s="5" t="s">
        <v>674</v>
      </c>
      <c r="C371" s="5" t="s">
        <v>631</v>
      </c>
      <c r="D371" s="6"/>
      <c r="E371" s="8"/>
      <c r="F371" s="8"/>
      <c r="G371" s="8"/>
      <c r="H371" s="8"/>
      <c r="I371" s="8"/>
      <c r="J371" s="8"/>
      <c r="K371" s="8"/>
      <c r="L371" s="8"/>
      <c r="M371" s="5" t="s">
        <v>51</v>
      </c>
      <c r="N371" s="1" t="s">
        <v>657</v>
      </c>
      <c r="O371" s="1" t="s">
        <v>51</v>
      </c>
      <c r="P371" s="1" t="s">
        <v>51</v>
      </c>
      <c r="Q371" s="1" t="s">
        <v>661</v>
      </c>
      <c r="R371" s="1" t="s">
        <v>60</v>
      </c>
      <c r="S371" s="1" t="s">
        <v>60</v>
      </c>
      <c r="T371" s="1" t="s">
        <v>60</v>
      </c>
      <c r="AR371" s="1" t="s">
        <v>51</v>
      </c>
      <c r="AS371" s="1" t="s">
        <v>51</v>
      </c>
      <c r="AU371" s="1" t="s">
        <v>675</v>
      </c>
      <c r="AV371">
        <v>238</v>
      </c>
    </row>
    <row r="372" spans="1:48" ht="30" customHeight="1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48" ht="30" customHeight="1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48" ht="30" customHeight="1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48" ht="30" customHeight="1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48" ht="30" customHeight="1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48" ht="30" customHeight="1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48" ht="30" customHeight="1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48" ht="30" customHeight="1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48" ht="30" customHeight="1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48" ht="30" customHeight="1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48" ht="30" customHeight="1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48" ht="30" customHeight="1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48" ht="30" customHeight="1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48" ht="30" customHeight="1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48" ht="30" customHeight="1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48" ht="30" customHeight="1" x14ac:dyDescent="0.3">
      <c r="A387" s="5" t="s">
        <v>207</v>
      </c>
      <c r="B387" s="6"/>
      <c r="C387" s="6"/>
      <c r="D387" s="6"/>
      <c r="E387" s="6"/>
      <c r="F387" s="8"/>
      <c r="G387" s="6"/>
      <c r="H387" s="8"/>
      <c r="I387" s="6"/>
      <c r="J387" s="8"/>
      <c r="K387" s="6"/>
      <c r="L387" s="8"/>
      <c r="M387" s="6"/>
      <c r="N387" t="s">
        <v>208</v>
      </c>
    </row>
    <row r="388" spans="1:48" ht="30" customHeight="1" x14ac:dyDescent="0.3">
      <c r="A388" s="5" t="s">
        <v>2316</v>
      </c>
      <c r="B388" s="5" t="s">
        <v>51</v>
      </c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Q388" s="1" t="s">
        <v>676</v>
      </c>
    </row>
    <row r="389" spans="1:48" ht="30" customHeight="1" x14ac:dyDescent="0.3">
      <c r="A389" s="5" t="s">
        <v>677</v>
      </c>
      <c r="B389" s="5" t="s">
        <v>678</v>
      </c>
      <c r="C389" s="5" t="s">
        <v>58</v>
      </c>
      <c r="D389" s="6"/>
      <c r="E389" s="8"/>
      <c r="F389" s="8"/>
      <c r="G389" s="8"/>
      <c r="H389" s="8"/>
      <c r="I389" s="8"/>
      <c r="J389" s="8"/>
      <c r="K389" s="8"/>
      <c r="L389" s="8"/>
      <c r="M389" s="5" t="s">
        <v>51</v>
      </c>
      <c r="N389" s="1" t="s">
        <v>679</v>
      </c>
      <c r="O389" s="1" t="s">
        <v>51</v>
      </c>
      <c r="P389" s="1" t="s">
        <v>51</v>
      </c>
      <c r="Q389" s="1" t="s">
        <v>676</v>
      </c>
      <c r="R389" s="1" t="s">
        <v>60</v>
      </c>
      <c r="S389" s="1" t="s">
        <v>60</v>
      </c>
      <c r="T389" s="1" t="s">
        <v>61</v>
      </c>
      <c r="X389">
        <v>1</v>
      </c>
      <c r="AR389" s="1" t="s">
        <v>51</v>
      </c>
      <c r="AS389" s="1" t="s">
        <v>51</v>
      </c>
      <c r="AU389" s="1" t="s">
        <v>680</v>
      </c>
      <c r="AV389">
        <v>207</v>
      </c>
    </row>
    <row r="390" spans="1:48" ht="30" customHeight="1" x14ac:dyDescent="0.3">
      <c r="A390" s="5" t="s">
        <v>681</v>
      </c>
      <c r="B390" s="5" t="s">
        <v>682</v>
      </c>
      <c r="C390" s="5" t="s">
        <v>58</v>
      </c>
      <c r="D390" s="6"/>
      <c r="E390" s="8"/>
      <c r="F390" s="8"/>
      <c r="G390" s="8"/>
      <c r="H390" s="8"/>
      <c r="I390" s="8"/>
      <c r="J390" s="8"/>
      <c r="K390" s="8"/>
      <c r="L390" s="8"/>
      <c r="M390" s="5" t="s">
        <v>51</v>
      </c>
      <c r="N390" s="1" t="s">
        <v>683</v>
      </c>
      <c r="O390" s="1" t="s">
        <v>51</v>
      </c>
      <c r="P390" s="1" t="s">
        <v>51</v>
      </c>
      <c r="Q390" s="1" t="s">
        <v>676</v>
      </c>
      <c r="R390" s="1" t="s">
        <v>60</v>
      </c>
      <c r="S390" s="1" t="s">
        <v>60</v>
      </c>
      <c r="T390" s="1" t="s">
        <v>61</v>
      </c>
      <c r="X390">
        <v>1</v>
      </c>
      <c r="AR390" s="1" t="s">
        <v>51</v>
      </c>
      <c r="AS390" s="1" t="s">
        <v>51</v>
      </c>
      <c r="AU390" s="1" t="s">
        <v>684</v>
      </c>
      <c r="AV390">
        <v>208</v>
      </c>
    </row>
    <row r="391" spans="1:48" ht="30" customHeight="1" x14ac:dyDescent="0.3">
      <c r="A391" s="5" t="s">
        <v>685</v>
      </c>
      <c r="B391" s="5" t="s">
        <v>686</v>
      </c>
      <c r="C391" s="5" t="s">
        <v>58</v>
      </c>
      <c r="D391" s="6"/>
      <c r="E391" s="8"/>
      <c r="F391" s="8"/>
      <c r="G391" s="8"/>
      <c r="H391" s="8"/>
      <c r="I391" s="8"/>
      <c r="J391" s="8"/>
      <c r="K391" s="8"/>
      <c r="L391" s="8"/>
      <c r="M391" s="5" t="s">
        <v>51</v>
      </c>
      <c r="N391" s="1" t="s">
        <v>687</v>
      </c>
      <c r="O391" s="1" t="s">
        <v>51</v>
      </c>
      <c r="P391" s="1" t="s">
        <v>51</v>
      </c>
      <c r="Q391" s="1" t="s">
        <v>676</v>
      </c>
      <c r="R391" s="1" t="s">
        <v>60</v>
      </c>
      <c r="S391" s="1" t="s">
        <v>60</v>
      </c>
      <c r="T391" s="1" t="s">
        <v>61</v>
      </c>
      <c r="X391">
        <v>1</v>
      </c>
      <c r="AR391" s="1" t="s">
        <v>51</v>
      </c>
      <c r="AS391" s="1" t="s">
        <v>51</v>
      </c>
      <c r="AU391" s="1" t="s">
        <v>688</v>
      </c>
      <c r="AV391">
        <v>209</v>
      </c>
    </row>
    <row r="392" spans="1:48" ht="30" customHeight="1" x14ac:dyDescent="0.3">
      <c r="A392" s="5" t="s">
        <v>689</v>
      </c>
      <c r="B392" s="5" t="s">
        <v>690</v>
      </c>
      <c r="C392" s="5" t="s">
        <v>58</v>
      </c>
      <c r="D392" s="6"/>
      <c r="E392" s="8"/>
      <c r="F392" s="8"/>
      <c r="G392" s="8"/>
      <c r="H392" s="8"/>
      <c r="I392" s="8"/>
      <c r="J392" s="8"/>
      <c r="K392" s="8"/>
      <c r="L392" s="8"/>
      <c r="M392" s="5" t="s">
        <v>51</v>
      </c>
      <c r="N392" s="1" t="s">
        <v>691</v>
      </c>
      <c r="O392" s="1" t="s">
        <v>51</v>
      </c>
      <c r="P392" s="1" t="s">
        <v>51</v>
      </c>
      <c r="Q392" s="1" t="s">
        <v>676</v>
      </c>
      <c r="R392" s="1" t="s">
        <v>60</v>
      </c>
      <c r="S392" s="1" t="s">
        <v>60</v>
      </c>
      <c r="T392" s="1" t="s">
        <v>61</v>
      </c>
      <c r="X392">
        <v>1</v>
      </c>
      <c r="AR392" s="1" t="s">
        <v>51</v>
      </c>
      <c r="AS392" s="1" t="s">
        <v>51</v>
      </c>
      <c r="AU392" s="1" t="s">
        <v>692</v>
      </c>
      <c r="AV392">
        <v>210</v>
      </c>
    </row>
    <row r="393" spans="1:48" ht="30" customHeight="1" x14ac:dyDescent="0.3">
      <c r="A393" s="5" t="s">
        <v>693</v>
      </c>
      <c r="B393" s="5" t="s">
        <v>694</v>
      </c>
      <c r="C393" s="5" t="s">
        <v>58</v>
      </c>
      <c r="D393" s="6"/>
      <c r="E393" s="8"/>
      <c r="F393" s="8"/>
      <c r="G393" s="8"/>
      <c r="H393" s="8"/>
      <c r="I393" s="8"/>
      <c r="J393" s="8"/>
      <c r="K393" s="8"/>
      <c r="L393" s="8"/>
      <c r="M393" s="5" t="s">
        <v>51</v>
      </c>
      <c r="N393" s="1" t="s">
        <v>695</v>
      </c>
      <c r="O393" s="1" t="s">
        <v>51</v>
      </c>
      <c r="P393" s="1" t="s">
        <v>51</v>
      </c>
      <c r="Q393" s="1" t="s">
        <v>676</v>
      </c>
      <c r="R393" s="1" t="s">
        <v>60</v>
      </c>
      <c r="S393" s="1" t="s">
        <v>60</v>
      </c>
      <c r="T393" s="1" t="s">
        <v>61</v>
      </c>
      <c r="X393">
        <v>1</v>
      </c>
      <c r="AR393" s="1" t="s">
        <v>51</v>
      </c>
      <c r="AS393" s="1" t="s">
        <v>51</v>
      </c>
      <c r="AU393" s="1" t="s">
        <v>696</v>
      </c>
      <c r="AV393">
        <v>211</v>
      </c>
    </row>
    <row r="394" spans="1:48" ht="30" customHeight="1" x14ac:dyDescent="0.3">
      <c r="A394" s="5" t="s">
        <v>697</v>
      </c>
      <c r="B394" s="5" t="s">
        <v>698</v>
      </c>
      <c r="C394" s="5" t="s">
        <v>58</v>
      </c>
      <c r="D394" s="6"/>
      <c r="E394" s="8"/>
      <c r="F394" s="8"/>
      <c r="G394" s="8"/>
      <c r="H394" s="8"/>
      <c r="I394" s="8"/>
      <c r="J394" s="8"/>
      <c r="K394" s="8"/>
      <c r="L394" s="8"/>
      <c r="M394" s="5" t="s">
        <v>51</v>
      </c>
      <c r="N394" s="1" t="s">
        <v>699</v>
      </c>
      <c r="O394" s="1" t="s">
        <v>51</v>
      </c>
      <c r="P394" s="1" t="s">
        <v>51</v>
      </c>
      <c r="Q394" s="1" t="s">
        <v>676</v>
      </c>
      <c r="R394" s="1" t="s">
        <v>60</v>
      </c>
      <c r="S394" s="1" t="s">
        <v>60</v>
      </c>
      <c r="T394" s="1" t="s">
        <v>61</v>
      </c>
      <c r="X394">
        <v>1</v>
      </c>
      <c r="AR394" s="1" t="s">
        <v>51</v>
      </c>
      <c r="AS394" s="1" t="s">
        <v>51</v>
      </c>
      <c r="AU394" s="1" t="s">
        <v>700</v>
      </c>
      <c r="AV394">
        <v>212</v>
      </c>
    </row>
    <row r="395" spans="1:48" ht="30" customHeight="1" x14ac:dyDescent="0.3">
      <c r="A395" s="5" t="s">
        <v>655</v>
      </c>
      <c r="B395" s="5" t="s">
        <v>701</v>
      </c>
      <c r="C395" s="5" t="s">
        <v>631</v>
      </c>
      <c r="D395" s="6"/>
      <c r="E395" s="8"/>
      <c r="F395" s="8"/>
      <c r="G395" s="8"/>
      <c r="H395" s="8"/>
      <c r="I395" s="8"/>
      <c r="J395" s="8"/>
      <c r="K395" s="8"/>
      <c r="L395" s="8"/>
      <c r="M395" s="5" t="s">
        <v>51</v>
      </c>
      <c r="N395" s="1" t="s">
        <v>657</v>
      </c>
      <c r="O395" s="1" t="s">
        <v>51</v>
      </c>
      <c r="P395" s="1" t="s">
        <v>51</v>
      </c>
      <c r="Q395" s="1" t="s">
        <v>676</v>
      </c>
      <c r="R395" s="1" t="s">
        <v>60</v>
      </c>
      <c r="S395" s="1" t="s">
        <v>60</v>
      </c>
      <c r="T395" s="1" t="s">
        <v>60</v>
      </c>
      <c r="U395">
        <v>0</v>
      </c>
      <c r="V395">
        <v>0</v>
      </c>
      <c r="W395">
        <v>5.4000000000000003E-3</v>
      </c>
      <c r="AR395" s="1" t="s">
        <v>51</v>
      </c>
      <c r="AS395" s="1" t="s">
        <v>51</v>
      </c>
      <c r="AU395" s="1" t="s">
        <v>702</v>
      </c>
      <c r="AV395">
        <v>239</v>
      </c>
    </row>
    <row r="396" spans="1:48" ht="30" customHeight="1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48" ht="30" customHeight="1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48" ht="30" customHeight="1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48" ht="30" customHeight="1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48" ht="30" customHeight="1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48" ht="30" customHeight="1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48" ht="30" customHeight="1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48" ht="30" customHeight="1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48" ht="30" customHeight="1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48" ht="30" customHeight="1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48" ht="30" customHeight="1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48" ht="30" customHeight="1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48" ht="30" customHeight="1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48" ht="30" customHeight="1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48" ht="30" customHeight="1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48" ht="30" customHeight="1" x14ac:dyDescent="0.3">
      <c r="A411" s="5" t="s">
        <v>207</v>
      </c>
      <c r="B411" s="6"/>
      <c r="C411" s="6"/>
      <c r="D411" s="6"/>
      <c r="E411" s="6"/>
      <c r="F411" s="8"/>
      <c r="G411" s="6"/>
      <c r="H411" s="8"/>
      <c r="I411" s="6"/>
      <c r="J411" s="8"/>
      <c r="K411" s="6"/>
      <c r="L411" s="8"/>
      <c r="M411" s="6"/>
      <c r="N411" t="s">
        <v>208</v>
      </c>
    </row>
    <row r="412" spans="1:48" ht="30" customHeight="1" x14ac:dyDescent="0.3">
      <c r="A412" s="5" t="s">
        <v>2318</v>
      </c>
      <c r="B412" s="5" t="s">
        <v>51</v>
      </c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Q412" s="1" t="s">
        <v>705</v>
      </c>
    </row>
    <row r="413" spans="1:48" ht="30" customHeight="1" x14ac:dyDescent="0.3">
      <c r="A413" s="5" t="s">
        <v>706</v>
      </c>
      <c r="B413" s="5" t="s">
        <v>2294</v>
      </c>
      <c r="C413" s="5" t="s">
        <v>631</v>
      </c>
      <c r="D413" s="6"/>
      <c r="E413" s="8"/>
      <c r="F413" s="8"/>
      <c r="G413" s="8"/>
      <c r="H413" s="8"/>
      <c r="I413" s="8"/>
      <c r="J413" s="8"/>
      <c r="K413" s="8"/>
      <c r="L413" s="8"/>
      <c r="M413" s="5" t="s">
        <v>51</v>
      </c>
      <c r="N413" s="1" t="s">
        <v>707</v>
      </c>
      <c r="O413" s="1" t="s">
        <v>51</v>
      </c>
      <c r="P413" s="1" t="s">
        <v>51</v>
      </c>
      <c r="Q413" s="1" t="s">
        <v>705</v>
      </c>
      <c r="R413" s="1" t="s">
        <v>60</v>
      </c>
      <c r="S413" s="1" t="s">
        <v>60</v>
      </c>
      <c r="T413" s="1" t="s">
        <v>61</v>
      </c>
      <c r="AR413" s="1" t="s">
        <v>51</v>
      </c>
      <c r="AS413" s="1" t="s">
        <v>51</v>
      </c>
      <c r="AU413" s="1" t="s">
        <v>708</v>
      </c>
      <c r="AV413">
        <v>215</v>
      </c>
    </row>
    <row r="414" spans="1:48" ht="30" customHeight="1" x14ac:dyDescent="0.3">
      <c r="A414" s="5"/>
      <c r="B414" s="5"/>
      <c r="C414" s="5"/>
      <c r="D414" s="6"/>
      <c r="E414" s="8"/>
      <c r="F414" s="8"/>
      <c r="G414" s="8"/>
      <c r="H414" s="8"/>
      <c r="I414" s="8"/>
      <c r="J414" s="8"/>
      <c r="K414" s="8"/>
      <c r="L414" s="8"/>
      <c r="M414" s="5"/>
      <c r="N414" s="1"/>
      <c r="O414" s="1"/>
      <c r="P414" s="1"/>
      <c r="Q414" s="1"/>
      <c r="R414" s="1"/>
      <c r="S414" s="1"/>
      <c r="T414" s="1"/>
      <c r="AR414" s="1"/>
      <c r="AS414" s="1"/>
      <c r="AU414" s="1"/>
    </row>
    <row r="415" spans="1:48" ht="30" customHeight="1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</row>
    <row r="416" spans="1:48" ht="30" customHeight="1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30" customHeight="1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30" customHeight="1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30" customHeight="1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30" customHeight="1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30" customHeight="1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30" customHeight="1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30" customHeight="1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30" customHeight="1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30" customHeight="1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30" customHeight="1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30" customHeight="1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30" customHeight="1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30" customHeight="1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30" customHeight="1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30" customHeight="1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30" customHeight="1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48" ht="30" customHeight="1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48" ht="30" customHeight="1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48" ht="30" customHeight="1" x14ac:dyDescent="0.3">
      <c r="A435" s="5" t="s">
        <v>207</v>
      </c>
      <c r="B435" s="6"/>
      <c r="C435" s="6"/>
      <c r="D435" s="6"/>
      <c r="E435" s="6"/>
      <c r="F435" s="8"/>
      <c r="G435" s="6"/>
      <c r="H435" s="8"/>
      <c r="I435" s="6"/>
      <c r="J435" s="8"/>
      <c r="K435" s="6"/>
      <c r="L435" s="8"/>
      <c r="M435" s="6"/>
      <c r="N435" t="s">
        <v>208</v>
      </c>
    </row>
    <row r="436" spans="1:48" ht="30" customHeight="1" x14ac:dyDescent="0.3">
      <c r="A436" s="5" t="s">
        <v>2319</v>
      </c>
      <c r="B436" s="5" t="s">
        <v>51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Q436" s="1" t="s">
        <v>710</v>
      </c>
    </row>
    <row r="437" spans="1:48" ht="30" customHeight="1" x14ac:dyDescent="0.3">
      <c r="A437" s="5" t="s">
        <v>709</v>
      </c>
      <c r="B437" s="5" t="s">
        <v>51</v>
      </c>
      <c r="C437" s="5" t="s">
        <v>631</v>
      </c>
      <c r="D437" s="6"/>
      <c r="E437" s="8"/>
      <c r="F437" s="8"/>
      <c r="G437" s="8"/>
      <c r="H437" s="8"/>
      <c r="I437" s="8"/>
      <c r="J437" s="8"/>
      <c r="K437" s="8"/>
      <c r="L437" s="8"/>
      <c r="M437" s="5" t="s">
        <v>51</v>
      </c>
      <c r="N437" s="1" t="s">
        <v>711</v>
      </c>
      <c r="O437" s="1" t="s">
        <v>51</v>
      </c>
      <c r="P437" s="1" t="s">
        <v>51</v>
      </c>
      <c r="Q437" s="1" t="s">
        <v>710</v>
      </c>
      <c r="R437" s="1" t="s">
        <v>60</v>
      </c>
      <c r="S437" s="1" t="s">
        <v>60</v>
      </c>
      <c r="T437" s="1" t="s">
        <v>61</v>
      </c>
      <c r="AR437" s="1" t="s">
        <v>51</v>
      </c>
      <c r="AS437" s="1" t="s">
        <v>51</v>
      </c>
      <c r="AU437" s="1" t="s">
        <v>712</v>
      </c>
      <c r="AV437">
        <v>218</v>
      </c>
    </row>
    <row r="438" spans="1:48" ht="30" customHeight="1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48" ht="30" customHeight="1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48" ht="30" customHeight="1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48" ht="30" customHeight="1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48" ht="30" customHeight="1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48" ht="30" customHeight="1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48" ht="30" customHeight="1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48" ht="30" customHeight="1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48" ht="30" customHeight="1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48" ht="30" customHeight="1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48" ht="30" customHeight="1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48" ht="30" customHeight="1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48" ht="30" customHeight="1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48" ht="30" customHeight="1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48" ht="30" customHeight="1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48" ht="30" customHeight="1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48" ht="30" customHeight="1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48" ht="30" customHeight="1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48" ht="30" customHeight="1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48" ht="30" customHeight="1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48" ht="30" customHeight="1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48" ht="30" customHeight="1" x14ac:dyDescent="0.3">
      <c r="A459" s="5" t="s">
        <v>207</v>
      </c>
      <c r="B459" s="6"/>
      <c r="C459" s="6"/>
      <c r="D459" s="6"/>
      <c r="E459" s="6"/>
      <c r="F459" s="8"/>
      <c r="G459" s="6"/>
      <c r="H459" s="8"/>
      <c r="I459" s="6"/>
      <c r="J459" s="8"/>
      <c r="K459" s="6"/>
      <c r="L459" s="8"/>
      <c r="M459" s="6"/>
      <c r="N459" t="s">
        <v>208</v>
      </c>
    </row>
    <row r="460" spans="1:48" ht="30" customHeight="1" x14ac:dyDescent="0.3">
      <c r="A460" s="5" t="s">
        <v>2320</v>
      </c>
      <c r="B460" s="5" t="s">
        <v>51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Q460" s="1" t="s">
        <v>713</v>
      </c>
    </row>
    <row r="461" spans="1:48" ht="30" customHeight="1" x14ac:dyDescent="0.3">
      <c r="A461" s="5" t="s">
        <v>715</v>
      </c>
      <c r="B461" s="5" t="s">
        <v>716</v>
      </c>
      <c r="C461" s="5" t="s">
        <v>58</v>
      </c>
      <c r="D461" s="6"/>
      <c r="E461" s="8"/>
      <c r="F461" s="8"/>
      <c r="G461" s="8"/>
      <c r="H461" s="8"/>
      <c r="I461" s="8"/>
      <c r="J461" s="8"/>
      <c r="K461" s="8"/>
      <c r="L461" s="8"/>
      <c r="M461" s="5" t="s">
        <v>51</v>
      </c>
      <c r="N461" s="1" t="s">
        <v>717</v>
      </c>
      <c r="O461" s="1" t="s">
        <v>51</v>
      </c>
      <c r="P461" s="1" t="s">
        <v>51</v>
      </c>
      <c r="Q461" s="1" t="s">
        <v>713</v>
      </c>
      <c r="R461" s="1" t="s">
        <v>60</v>
      </c>
      <c r="S461" s="1" t="s">
        <v>60</v>
      </c>
      <c r="T461" s="1" t="s">
        <v>61</v>
      </c>
      <c r="AR461" s="1" t="s">
        <v>51</v>
      </c>
      <c r="AS461" s="1" t="s">
        <v>51</v>
      </c>
      <c r="AU461" s="1" t="s">
        <v>718</v>
      </c>
      <c r="AV461">
        <v>220</v>
      </c>
    </row>
    <row r="462" spans="1:48" ht="30" customHeight="1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48" ht="30" customHeight="1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48" ht="30" customHeight="1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30" customHeight="1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30" customHeight="1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30" customHeight="1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30" customHeight="1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30" customHeight="1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1:13" ht="30" customHeight="1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1:13" ht="30" customHeight="1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1:13" ht="30" customHeight="1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1:13" ht="30" customHeight="1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1:13" ht="30" customHeight="1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1:13" ht="30" customHeight="1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1:13" ht="30" customHeight="1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1:13" ht="30" customHeight="1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</row>
    <row r="478" spans="1:13" ht="30" customHeight="1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</row>
    <row r="479" spans="1:13" ht="30" customHeight="1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</row>
    <row r="480" spans="1:13" ht="30" customHeight="1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</row>
    <row r="481" spans="1:14" ht="30" customHeight="1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</row>
    <row r="482" spans="1:14" ht="30" customHeight="1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</row>
    <row r="483" spans="1:14" ht="30" customHeight="1" x14ac:dyDescent="0.3">
      <c r="A483" s="5" t="s">
        <v>207</v>
      </c>
      <c r="B483" s="6"/>
      <c r="C483" s="6"/>
      <c r="D483" s="6"/>
      <c r="E483" s="6"/>
      <c r="F483" s="8"/>
      <c r="G483" s="6"/>
      <c r="H483" s="8"/>
      <c r="I483" s="6"/>
      <c r="J483" s="8"/>
      <c r="K483" s="6"/>
      <c r="L483" s="8"/>
      <c r="M483" s="6"/>
      <c r="N483" t="s">
        <v>208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7" manualBreakCount="17"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43" max="16383" man="1"/>
    <brk id="267" max="16383" man="1"/>
    <brk id="291" max="16383" man="1"/>
    <brk id="315" max="16383" man="1"/>
    <brk id="363" max="16383" man="1"/>
    <brk id="387" max="16383" man="1"/>
    <brk id="411" max="16383" man="1"/>
    <brk id="435" max="16383" man="1"/>
    <brk id="459" max="16383" man="1"/>
    <brk id="4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A07C3-6FB8-439B-96AF-865C31D58F95}">
  <sheetPr>
    <pageSetUpPr fitToPage="1"/>
  </sheetPr>
  <dimension ref="A1:N95"/>
  <sheetViews>
    <sheetView view="pageBreakPreview" topLeftCell="B1" zoomScale="85" zoomScaleNormal="100" zoomScaleSheetLayoutView="85" workbookViewId="0">
      <selection activeCell="D20" sqref="D20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6" t="s">
        <v>719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4" ht="30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ht="30" customHeight="1" x14ac:dyDescent="0.3">
      <c r="A3" s="2" t="s">
        <v>720</v>
      </c>
      <c r="B3" s="2" t="s">
        <v>2</v>
      </c>
      <c r="C3" s="2" t="s">
        <v>3</v>
      </c>
      <c r="D3" s="2" t="s">
        <v>4</v>
      </c>
      <c r="E3" s="2" t="s">
        <v>721</v>
      </c>
      <c r="F3" s="2" t="s">
        <v>722</v>
      </c>
      <c r="G3" s="2" t="s">
        <v>723</v>
      </c>
      <c r="H3" s="2" t="s">
        <v>724</v>
      </c>
      <c r="I3" s="2" t="s">
        <v>725</v>
      </c>
      <c r="J3" s="2" t="s">
        <v>726</v>
      </c>
      <c r="K3" s="2" t="s">
        <v>727</v>
      </c>
      <c r="L3" s="2" t="s">
        <v>728</v>
      </c>
      <c r="M3" s="2" t="s">
        <v>729</v>
      </c>
      <c r="N3" s="1" t="s">
        <v>730</v>
      </c>
    </row>
    <row r="4" spans="1:14" ht="30" customHeight="1" x14ac:dyDescent="0.3">
      <c r="A4" s="5" t="s">
        <v>67</v>
      </c>
      <c r="B4" s="5" t="s">
        <v>63</v>
      </c>
      <c r="C4" s="5" t="s">
        <v>64</v>
      </c>
      <c r="D4" s="5" t="s">
        <v>65</v>
      </c>
      <c r="E4" s="10">
        <f>일위대가!F12</f>
        <v>1641</v>
      </c>
      <c r="F4" s="10">
        <f>일위대가!H12</f>
        <v>7520</v>
      </c>
      <c r="G4" s="10">
        <f>일위대가!J12</f>
        <v>0</v>
      </c>
      <c r="H4" s="10">
        <f t="shared" ref="H4:H35" si="0">E4+F4+G4</f>
        <v>9161</v>
      </c>
      <c r="I4" s="5" t="s">
        <v>66</v>
      </c>
      <c r="J4" s="5" t="s">
        <v>51</v>
      </c>
      <c r="K4" s="5" t="s">
        <v>51</v>
      </c>
      <c r="L4" s="5" t="s">
        <v>51</v>
      </c>
      <c r="M4" s="5" t="s">
        <v>51</v>
      </c>
      <c r="N4" s="1" t="s">
        <v>51</v>
      </c>
    </row>
    <row r="5" spans="1:14" ht="30" customHeight="1" x14ac:dyDescent="0.3">
      <c r="A5" s="5" t="s">
        <v>72</v>
      </c>
      <c r="B5" s="5" t="s">
        <v>69</v>
      </c>
      <c r="C5" s="5" t="s">
        <v>70</v>
      </c>
      <c r="D5" s="5" t="s">
        <v>65</v>
      </c>
      <c r="E5" s="10">
        <f>일위대가!F20</f>
        <v>13586</v>
      </c>
      <c r="F5" s="10">
        <f>일위대가!H20</f>
        <v>4515</v>
      </c>
      <c r="G5" s="10">
        <f>일위대가!J20</f>
        <v>0</v>
      </c>
      <c r="H5" s="10">
        <f t="shared" si="0"/>
        <v>18101</v>
      </c>
      <c r="I5" s="5" t="s">
        <v>71</v>
      </c>
      <c r="J5" s="5" t="s">
        <v>51</v>
      </c>
      <c r="K5" s="5" t="s">
        <v>51</v>
      </c>
      <c r="L5" s="5" t="s">
        <v>51</v>
      </c>
      <c r="M5" s="5" t="s">
        <v>51</v>
      </c>
      <c r="N5" s="1" t="s">
        <v>51</v>
      </c>
    </row>
    <row r="6" spans="1:14" ht="30" customHeight="1" x14ac:dyDescent="0.3">
      <c r="A6" s="5" t="s">
        <v>90</v>
      </c>
      <c r="B6" s="5" t="s">
        <v>86</v>
      </c>
      <c r="C6" s="5" t="s">
        <v>87</v>
      </c>
      <c r="D6" s="5" t="s">
        <v>88</v>
      </c>
      <c r="E6" s="10">
        <f>일위대가!F27</f>
        <v>3306</v>
      </c>
      <c r="F6" s="10">
        <f>일위대가!H27</f>
        <v>110220</v>
      </c>
      <c r="G6" s="10">
        <f>일위대가!J27</f>
        <v>0</v>
      </c>
      <c r="H6" s="10">
        <f t="shared" si="0"/>
        <v>113526</v>
      </c>
      <c r="I6" s="5" t="s">
        <v>89</v>
      </c>
      <c r="J6" s="5" t="s">
        <v>51</v>
      </c>
      <c r="K6" s="5" t="s">
        <v>51</v>
      </c>
      <c r="L6" s="5" t="s">
        <v>51</v>
      </c>
      <c r="M6" s="5" t="s">
        <v>51</v>
      </c>
      <c r="N6" s="1" t="s">
        <v>51</v>
      </c>
    </row>
    <row r="7" spans="1:14" ht="30" customHeight="1" x14ac:dyDescent="0.3">
      <c r="A7" s="5" t="s">
        <v>94</v>
      </c>
      <c r="B7" s="5" t="s">
        <v>63</v>
      </c>
      <c r="C7" s="5" t="s">
        <v>92</v>
      </c>
      <c r="D7" s="5" t="s">
        <v>65</v>
      </c>
      <c r="E7" s="10">
        <f>일위대가!F37</f>
        <v>3802</v>
      </c>
      <c r="F7" s="10">
        <f>일위대가!H37</f>
        <v>14898</v>
      </c>
      <c r="G7" s="10">
        <f>일위대가!J37</f>
        <v>0</v>
      </c>
      <c r="H7" s="10">
        <f t="shared" si="0"/>
        <v>18700</v>
      </c>
      <c r="I7" s="5" t="s">
        <v>93</v>
      </c>
      <c r="J7" s="5" t="s">
        <v>51</v>
      </c>
      <c r="K7" s="5" t="s">
        <v>51</v>
      </c>
      <c r="L7" s="5" t="s">
        <v>51</v>
      </c>
      <c r="M7" s="5" t="s">
        <v>51</v>
      </c>
      <c r="N7" s="1" t="s">
        <v>51</v>
      </c>
    </row>
    <row r="8" spans="1:14" ht="30" customHeight="1" x14ac:dyDescent="0.3">
      <c r="A8" s="5" t="s">
        <v>99</v>
      </c>
      <c r="B8" s="5" t="s">
        <v>96</v>
      </c>
      <c r="C8" s="5" t="s">
        <v>97</v>
      </c>
      <c r="D8" s="5" t="s">
        <v>58</v>
      </c>
      <c r="E8" s="10">
        <f>일위대가!F47</f>
        <v>65381</v>
      </c>
      <c r="F8" s="10">
        <f>일위대가!H47</f>
        <v>72786</v>
      </c>
      <c r="G8" s="10">
        <f>일위대가!J47</f>
        <v>0</v>
      </c>
      <c r="H8" s="10">
        <f t="shared" si="0"/>
        <v>138167</v>
      </c>
      <c r="I8" s="5" t="s">
        <v>98</v>
      </c>
      <c r="J8" s="5" t="s">
        <v>51</v>
      </c>
      <c r="K8" s="5" t="s">
        <v>51</v>
      </c>
      <c r="L8" s="5" t="s">
        <v>51</v>
      </c>
      <c r="M8" s="5" t="s">
        <v>51</v>
      </c>
      <c r="N8" s="1" t="s">
        <v>51</v>
      </c>
    </row>
    <row r="9" spans="1:14" ht="30" customHeight="1" x14ac:dyDescent="0.3">
      <c r="A9" s="5" t="s">
        <v>104</v>
      </c>
      <c r="B9" s="5" t="s">
        <v>101</v>
      </c>
      <c r="C9" s="5" t="s">
        <v>102</v>
      </c>
      <c r="D9" s="5" t="s">
        <v>88</v>
      </c>
      <c r="E9" s="10">
        <f>일위대가!F69</f>
        <v>1033065</v>
      </c>
      <c r="F9" s="10">
        <f>일위대가!H69</f>
        <v>986599</v>
      </c>
      <c r="G9" s="10">
        <f>일위대가!J69</f>
        <v>4298</v>
      </c>
      <c r="H9" s="10">
        <f t="shared" si="0"/>
        <v>2023962</v>
      </c>
      <c r="I9" s="5" t="s">
        <v>103</v>
      </c>
      <c r="J9" s="5" t="s">
        <v>51</v>
      </c>
      <c r="K9" s="5" t="s">
        <v>51</v>
      </c>
      <c r="L9" s="5" t="s">
        <v>51</v>
      </c>
      <c r="M9" s="5" t="s">
        <v>51</v>
      </c>
      <c r="N9" s="1" t="s">
        <v>51</v>
      </c>
    </row>
    <row r="10" spans="1:14" ht="30" customHeight="1" x14ac:dyDescent="0.3">
      <c r="A10" s="5" t="s">
        <v>109</v>
      </c>
      <c r="B10" s="5" t="s">
        <v>106</v>
      </c>
      <c r="C10" s="5" t="s">
        <v>107</v>
      </c>
      <c r="D10" s="5" t="s">
        <v>65</v>
      </c>
      <c r="E10" s="10">
        <f>일위대가!F78</f>
        <v>18487</v>
      </c>
      <c r="F10" s="10">
        <f>일위대가!H78</f>
        <v>4533</v>
      </c>
      <c r="G10" s="10">
        <f>일위대가!J78</f>
        <v>0</v>
      </c>
      <c r="H10" s="10">
        <f t="shared" si="0"/>
        <v>23020</v>
      </c>
      <c r="I10" s="5" t="s">
        <v>108</v>
      </c>
      <c r="J10" s="5" t="s">
        <v>51</v>
      </c>
      <c r="K10" s="5" t="s">
        <v>51</v>
      </c>
      <c r="L10" s="5" t="s">
        <v>51</v>
      </c>
      <c r="M10" s="5" t="s">
        <v>51</v>
      </c>
      <c r="N10" s="1" t="s">
        <v>51</v>
      </c>
    </row>
    <row r="11" spans="1:14" ht="30" customHeight="1" x14ac:dyDescent="0.3">
      <c r="A11" s="5" t="s">
        <v>115</v>
      </c>
      <c r="B11" s="5" t="s">
        <v>111</v>
      </c>
      <c r="C11" s="5" t="s">
        <v>112</v>
      </c>
      <c r="D11" s="5" t="s">
        <v>113</v>
      </c>
      <c r="E11" s="10">
        <f>일위대가!F84</f>
        <v>71012</v>
      </c>
      <c r="F11" s="10">
        <f>일위대가!H84</f>
        <v>378929</v>
      </c>
      <c r="G11" s="10">
        <f>일위대가!J84</f>
        <v>0</v>
      </c>
      <c r="H11" s="10">
        <f t="shared" si="0"/>
        <v>449941</v>
      </c>
      <c r="I11" s="5" t="s">
        <v>114</v>
      </c>
      <c r="J11" s="5" t="s">
        <v>51</v>
      </c>
      <c r="K11" s="5" t="s">
        <v>51</v>
      </c>
      <c r="L11" s="5" t="s">
        <v>51</v>
      </c>
      <c r="M11" s="5" t="s">
        <v>51</v>
      </c>
      <c r="N11" s="1" t="s">
        <v>51</v>
      </c>
    </row>
    <row r="12" spans="1:14" ht="30" customHeight="1" x14ac:dyDescent="0.3">
      <c r="A12" s="5" t="s">
        <v>120</v>
      </c>
      <c r="B12" s="5" t="s">
        <v>117</v>
      </c>
      <c r="C12" s="5" t="s">
        <v>118</v>
      </c>
      <c r="D12" s="5" t="s">
        <v>88</v>
      </c>
      <c r="E12" s="10">
        <f>일위대가!F91</f>
        <v>4632</v>
      </c>
      <c r="F12" s="10">
        <f>일위대가!H91</f>
        <v>43869</v>
      </c>
      <c r="G12" s="10">
        <f>일위대가!J91</f>
        <v>0</v>
      </c>
      <c r="H12" s="10">
        <f t="shared" si="0"/>
        <v>48501</v>
      </c>
      <c r="I12" s="5" t="s">
        <v>119</v>
      </c>
      <c r="J12" s="5" t="s">
        <v>51</v>
      </c>
      <c r="K12" s="5" t="s">
        <v>51</v>
      </c>
      <c r="L12" s="5" t="s">
        <v>51</v>
      </c>
      <c r="M12" s="5" t="s">
        <v>51</v>
      </c>
      <c r="N12" s="1" t="s">
        <v>51</v>
      </c>
    </row>
    <row r="13" spans="1:14" ht="30" customHeight="1" x14ac:dyDescent="0.3">
      <c r="A13" s="5" t="s">
        <v>141</v>
      </c>
      <c r="B13" s="5" t="s">
        <v>138</v>
      </c>
      <c r="C13" s="5" t="s">
        <v>139</v>
      </c>
      <c r="D13" s="5" t="s">
        <v>124</v>
      </c>
      <c r="E13" s="10">
        <f>일위대가!F97</f>
        <v>61376</v>
      </c>
      <c r="F13" s="10">
        <f>일위대가!H97</f>
        <v>68827</v>
      </c>
      <c r="G13" s="10">
        <f>일위대가!J97</f>
        <v>0</v>
      </c>
      <c r="H13" s="10">
        <f t="shared" si="0"/>
        <v>130203</v>
      </c>
      <c r="I13" s="5" t="s">
        <v>140</v>
      </c>
      <c r="J13" s="5" t="s">
        <v>51</v>
      </c>
      <c r="K13" s="5" t="s">
        <v>51</v>
      </c>
      <c r="L13" s="5" t="s">
        <v>51</v>
      </c>
      <c r="M13" s="5" t="s">
        <v>51</v>
      </c>
      <c r="N13" s="1" t="s">
        <v>51</v>
      </c>
    </row>
    <row r="14" spans="1:14" ht="30" customHeight="1" x14ac:dyDescent="0.3">
      <c r="A14" s="5" t="s">
        <v>145</v>
      </c>
      <c r="B14" s="5" t="s">
        <v>101</v>
      </c>
      <c r="C14" s="5" t="s">
        <v>143</v>
      </c>
      <c r="D14" s="5" t="s">
        <v>88</v>
      </c>
      <c r="E14" s="10">
        <f>일위대가!F119</f>
        <v>641450</v>
      </c>
      <c r="F14" s="10">
        <f>일위대가!H119</f>
        <v>434385</v>
      </c>
      <c r="G14" s="10">
        <f>일위대가!J119</f>
        <v>1730</v>
      </c>
      <c r="H14" s="10">
        <f t="shared" si="0"/>
        <v>1077565</v>
      </c>
      <c r="I14" s="5" t="s">
        <v>144</v>
      </c>
      <c r="J14" s="5" t="s">
        <v>51</v>
      </c>
      <c r="K14" s="5" t="s">
        <v>51</v>
      </c>
      <c r="L14" s="5" t="s">
        <v>51</v>
      </c>
      <c r="M14" s="5" t="s">
        <v>51</v>
      </c>
      <c r="N14" s="1" t="s">
        <v>51</v>
      </c>
    </row>
    <row r="15" spans="1:14" ht="30" customHeight="1" x14ac:dyDescent="0.3">
      <c r="A15" s="5" t="s">
        <v>150</v>
      </c>
      <c r="B15" s="5" t="s">
        <v>147</v>
      </c>
      <c r="C15" s="5" t="s">
        <v>148</v>
      </c>
      <c r="D15" s="5" t="s">
        <v>65</v>
      </c>
      <c r="E15" s="10">
        <f>일위대가!F128</f>
        <v>887</v>
      </c>
      <c r="F15" s="10">
        <f>일위대가!H128</f>
        <v>14778</v>
      </c>
      <c r="G15" s="10">
        <f>일위대가!J128</f>
        <v>0</v>
      </c>
      <c r="H15" s="10">
        <f t="shared" si="0"/>
        <v>15665</v>
      </c>
      <c r="I15" s="5" t="s">
        <v>149</v>
      </c>
      <c r="J15" s="5" t="s">
        <v>51</v>
      </c>
      <c r="K15" s="5" t="s">
        <v>51</v>
      </c>
      <c r="L15" s="5" t="s">
        <v>51</v>
      </c>
      <c r="M15" s="5" t="s">
        <v>51</v>
      </c>
      <c r="N15" s="1" t="s">
        <v>51</v>
      </c>
    </row>
    <row r="16" spans="1:14" ht="30" customHeight="1" x14ac:dyDescent="0.3">
      <c r="A16" s="5" t="s">
        <v>154</v>
      </c>
      <c r="B16" s="5" t="s">
        <v>147</v>
      </c>
      <c r="C16" s="5" t="s">
        <v>152</v>
      </c>
      <c r="D16" s="5" t="s">
        <v>65</v>
      </c>
      <c r="E16" s="10">
        <f>일위대가!F137</f>
        <v>1480</v>
      </c>
      <c r="F16" s="10">
        <f>일위대가!H137</f>
        <v>19704</v>
      </c>
      <c r="G16" s="10">
        <f>일위대가!J137</f>
        <v>0</v>
      </c>
      <c r="H16" s="10">
        <f t="shared" si="0"/>
        <v>21184</v>
      </c>
      <c r="I16" s="5" t="s">
        <v>153</v>
      </c>
      <c r="J16" s="5" t="s">
        <v>51</v>
      </c>
      <c r="K16" s="5" t="s">
        <v>51</v>
      </c>
      <c r="L16" s="5" t="s">
        <v>51</v>
      </c>
      <c r="M16" s="5" t="s">
        <v>51</v>
      </c>
      <c r="N16" s="1" t="s">
        <v>51</v>
      </c>
    </row>
    <row r="17" spans="1:14" ht="30" customHeight="1" x14ac:dyDescent="0.3">
      <c r="A17" s="5" t="s">
        <v>158</v>
      </c>
      <c r="B17" s="5" t="s">
        <v>63</v>
      </c>
      <c r="C17" s="5" t="s">
        <v>156</v>
      </c>
      <c r="D17" s="5" t="s">
        <v>65</v>
      </c>
      <c r="E17" s="10">
        <f>일위대가!F147</f>
        <v>2476</v>
      </c>
      <c r="F17" s="10">
        <f>일위대가!H147</f>
        <v>11174</v>
      </c>
      <c r="G17" s="10">
        <f>일위대가!J147</f>
        <v>0</v>
      </c>
      <c r="H17" s="10">
        <f t="shared" si="0"/>
        <v>13650</v>
      </c>
      <c r="I17" s="5" t="s">
        <v>157</v>
      </c>
      <c r="J17" s="5" t="s">
        <v>51</v>
      </c>
      <c r="K17" s="5" t="s">
        <v>51</v>
      </c>
      <c r="L17" s="5" t="s">
        <v>51</v>
      </c>
      <c r="M17" s="5" t="s">
        <v>51</v>
      </c>
      <c r="N17" s="1" t="s">
        <v>51</v>
      </c>
    </row>
    <row r="18" spans="1:14" ht="30" customHeight="1" x14ac:dyDescent="0.3">
      <c r="A18" s="5" t="s">
        <v>163</v>
      </c>
      <c r="B18" s="5" t="s">
        <v>160</v>
      </c>
      <c r="C18" s="5" t="s">
        <v>161</v>
      </c>
      <c r="D18" s="5" t="s">
        <v>58</v>
      </c>
      <c r="E18" s="10">
        <f>일위대가!F153</f>
        <v>24467</v>
      </c>
      <c r="F18" s="10">
        <f>일위대가!H153</f>
        <v>114943</v>
      </c>
      <c r="G18" s="10">
        <f>일위대가!J153</f>
        <v>0</v>
      </c>
      <c r="H18" s="10">
        <f t="shared" si="0"/>
        <v>139410</v>
      </c>
      <c r="I18" s="5" t="s">
        <v>162</v>
      </c>
      <c r="J18" s="5" t="s">
        <v>51</v>
      </c>
      <c r="K18" s="5" t="s">
        <v>51</v>
      </c>
      <c r="L18" s="5" t="s">
        <v>51</v>
      </c>
      <c r="M18" s="5" t="s">
        <v>51</v>
      </c>
      <c r="N18" s="1" t="s">
        <v>51</v>
      </c>
    </row>
    <row r="19" spans="1:14" ht="30" customHeight="1" x14ac:dyDescent="0.3">
      <c r="A19" s="5" t="s">
        <v>168</v>
      </c>
      <c r="B19" s="5" t="s">
        <v>96</v>
      </c>
      <c r="C19" s="5" t="s">
        <v>165</v>
      </c>
      <c r="D19" s="5" t="s">
        <v>166</v>
      </c>
      <c r="E19" s="10">
        <f>일위대가!F163</f>
        <v>49228</v>
      </c>
      <c r="F19" s="10">
        <f>일위대가!H163</f>
        <v>50117</v>
      </c>
      <c r="G19" s="10">
        <f>일위대가!J163</f>
        <v>0</v>
      </c>
      <c r="H19" s="10">
        <f t="shared" si="0"/>
        <v>99345</v>
      </c>
      <c r="I19" s="5" t="s">
        <v>167</v>
      </c>
      <c r="J19" s="5" t="s">
        <v>51</v>
      </c>
      <c r="K19" s="5" t="s">
        <v>51</v>
      </c>
      <c r="L19" s="5" t="s">
        <v>51</v>
      </c>
      <c r="M19" s="5" t="s">
        <v>51</v>
      </c>
      <c r="N19" s="1" t="s">
        <v>51</v>
      </c>
    </row>
    <row r="20" spans="1:14" ht="30" customHeight="1" x14ac:dyDescent="0.3">
      <c r="A20" s="5" t="s">
        <v>172</v>
      </c>
      <c r="B20" s="5" t="s">
        <v>106</v>
      </c>
      <c r="C20" s="5" t="s">
        <v>170</v>
      </c>
      <c r="D20" s="5" t="s">
        <v>65</v>
      </c>
      <c r="E20" s="10">
        <f>일위대가!F171</f>
        <v>44305</v>
      </c>
      <c r="F20" s="10">
        <f>일위대가!H171</f>
        <v>41365</v>
      </c>
      <c r="G20" s="10">
        <f>일위대가!J171</f>
        <v>0</v>
      </c>
      <c r="H20" s="10">
        <f t="shared" si="0"/>
        <v>85670</v>
      </c>
      <c r="I20" s="5" t="s">
        <v>171</v>
      </c>
      <c r="J20" s="5" t="s">
        <v>51</v>
      </c>
      <c r="K20" s="5" t="s">
        <v>51</v>
      </c>
      <c r="L20" s="5" t="s">
        <v>51</v>
      </c>
      <c r="M20" s="5" t="s">
        <v>51</v>
      </c>
      <c r="N20" s="1" t="s">
        <v>51</v>
      </c>
    </row>
    <row r="21" spans="1:14" ht="30" customHeight="1" x14ac:dyDescent="0.3">
      <c r="A21" s="5" t="s">
        <v>177</v>
      </c>
      <c r="B21" s="5" t="s">
        <v>174</v>
      </c>
      <c r="C21" s="5" t="s">
        <v>175</v>
      </c>
      <c r="D21" s="5" t="s">
        <v>88</v>
      </c>
      <c r="E21" s="10">
        <f>일위대가!F177</f>
        <v>733</v>
      </c>
      <c r="F21" s="10">
        <f>일위대가!H177</f>
        <v>16424</v>
      </c>
      <c r="G21" s="10">
        <f>일위대가!J177</f>
        <v>0</v>
      </c>
      <c r="H21" s="10">
        <f t="shared" si="0"/>
        <v>17157</v>
      </c>
      <c r="I21" s="5" t="s">
        <v>176</v>
      </c>
      <c r="J21" s="5" t="s">
        <v>51</v>
      </c>
      <c r="K21" s="5" t="s">
        <v>51</v>
      </c>
      <c r="L21" s="5" t="s">
        <v>51</v>
      </c>
      <c r="M21" s="5" t="s">
        <v>51</v>
      </c>
      <c r="N21" s="1" t="s">
        <v>51</v>
      </c>
    </row>
    <row r="22" spans="1:14" ht="30" customHeight="1" x14ac:dyDescent="0.3">
      <c r="A22" s="5" t="s">
        <v>181</v>
      </c>
      <c r="B22" s="5" t="s">
        <v>174</v>
      </c>
      <c r="C22" s="5" t="s">
        <v>179</v>
      </c>
      <c r="D22" s="5" t="s">
        <v>88</v>
      </c>
      <c r="E22" s="10">
        <f>일위대가!F183</f>
        <v>2200</v>
      </c>
      <c r="F22" s="10">
        <f>일위대가!H183</f>
        <v>31023</v>
      </c>
      <c r="G22" s="10">
        <f>일위대가!J183</f>
        <v>0</v>
      </c>
      <c r="H22" s="10">
        <f t="shared" si="0"/>
        <v>33223</v>
      </c>
      <c r="I22" s="5" t="s">
        <v>180</v>
      </c>
      <c r="J22" s="5" t="s">
        <v>51</v>
      </c>
      <c r="K22" s="5" t="s">
        <v>51</v>
      </c>
      <c r="L22" s="5" t="s">
        <v>51</v>
      </c>
      <c r="M22" s="5" t="s">
        <v>51</v>
      </c>
      <c r="N22" s="1" t="s">
        <v>51</v>
      </c>
    </row>
    <row r="23" spans="1:14" ht="30" customHeight="1" x14ac:dyDescent="0.3">
      <c r="A23" s="5" t="s">
        <v>186</v>
      </c>
      <c r="B23" s="5" t="s">
        <v>183</v>
      </c>
      <c r="C23" s="5" t="s">
        <v>184</v>
      </c>
      <c r="D23" s="5" t="s">
        <v>88</v>
      </c>
      <c r="E23" s="10">
        <f>일위대가!F189</f>
        <v>12069</v>
      </c>
      <c r="F23" s="10">
        <f>일위대가!H189</f>
        <v>38323</v>
      </c>
      <c r="G23" s="10">
        <f>일위대가!J189</f>
        <v>0</v>
      </c>
      <c r="H23" s="10">
        <f t="shared" si="0"/>
        <v>50392</v>
      </c>
      <c r="I23" s="5" t="s">
        <v>185</v>
      </c>
      <c r="J23" s="5" t="s">
        <v>51</v>
      </c>
      <c r="K23" s="5" t="s">
        <v>51</v>
      </c>
      <c r="L23" s="5" t="s">
        <v>51</v>
      </c>
      <c r="M23" s="5" t="s">
        <v>51</v>
      </c>
      <c r="N23" s="1" t="s">
        <v>51</v>
      </c>
    </row>
    <row r="24" spans="1:14" ht="30" customHeight="1" x14ac:dyDescent="0.3">
      <c r="A24" s="5" t="s">
        <v>190</v>
      </c>
      <c r="B24" s="5" t="s">
        <v>69</v>
      </c>
      <c r="C24" s="5" t="s">
        <v>188</v>
      </c>
      <c r="D24" s="5" t="s">
        <v>65</v>
      </c>
      <c r="E24" s="10">
        <f>일위대가!F197</f>
        <v>2648</v>
      </c>
      <c r="F24" s="10">
        <f>일위대가!H197</f>
        <v>2873</v>
      </c>
      <c r="G24" s="10">
        <f>일위대가!J197</f>
        <v>0</v>
      </c>
      <c r="H24" s="10">
        <f t="shared" si="0"/>
        <v>5521</v>
      </c>
      <c r="I24" s="5" t="s">
        <v>189</v>
      </c>
      <c r="J24" s="5" t="s">
        <v>51</v>
      </c>
      <c r="K24" s="5" t="s">
        <v>51</v>
      </c>
      <c r="L24" s="5" t="s">
        <v>51</v>
      </c>
      <c r="M24" s="5" t="s">
        <v>51</v>
      </c>
      <c r="N24" s="1" t="s">
        <v>51</v>
      </c>
    </row>
    <row r="25" spans="1:14" ht="30" customHeight="1" x14ac:dyDescent="0.3">
      <c r="A25" s="5" t="s">
        <v>194</v>
      </c>
      <c r="B25" s="5" t="s">
        <v>69</v>
      </c>
      <c r="C25" s="5" t="s">
        <v>192</v>
      </c>
      <c r="D25" s="5" t="s">
        <v>65</v>
      </c>
      <c r="E25" s="10">
        <f>일위대가!F205</f>
        <v>4337</v>
      </c>
      <c r="F25" s="10">
        <f>일위대가!H205</f>
        <v>2873</v>
      </c>
      <c r="G25" s="10">
        <f>일위대가!J205</f>
        <v>0</v>
      </c>
      <c r="H25" s="10">
        <f t="shared" si="0"/>
        <v>7210</v>
      </c>
      <c r="I25" s="5" t="s">
        <v>193</v>
      </c>
      <c r="J25" s="5" t="s">
        <v>51</v>
      </c>
      <c r="K25" s="5" t="s">
        <v>51</v>
      </c>
      <c r="L25" s="5" t="s">
        <v>51</v>
      </c>
      <c r="M25" s="5" t="s">
        <v>51</v>
      </c>
      <c r="N25" s="1" t="s">
        <v>51</v>
      </c>
    </row>
    <row r="26" spans="1:14" ht="30" customHeight="1" x14ac:dyDescent="0.3">
      <c r="A26" s="5" t="s">
        <v>198</v>
      </c>
      <c r="B26" s="5" t="s">
        <v>69</v>
      </c>
      <c r="C26" s="5" t="s">
        <v>196</v>
      </c>
      <c r="D26" s="5" t="s">
        <v>65</v>
      </c>
      <c r="E26" s="10">
        <f>일위대가!F213</f>
        <v>6108</v>
      </c>
      <c r="F26" s="10">
        <f>일위대가!H213</f>
        <v>2873</v>
      </c>
      <c r="G26" s="10">
        <f>일위대가!J213</f>
        <v>0</v>
      </c>
      <c r="H26" s="10">
        <f t="shared" si="0"/>
        <v>8981</v>
      </c>
      <c r="I26" s="5" t="s">
        <v>197</v>
      </c>
      <c r="J26" s="5" t="s">
        <v>51</v>
      </c>
      <c r="K26" s="5" t="s">
        <v>51</v>
      </c>
      <c r="L26" s="5" t="s">
        <v>51</v>
      </c>
      <c r="M26" s="5" t="s">
        <v>51</v>
      </c>
      <c r="N26" s="1" t="s">
        <v>51</v>
      </c>
    </row>
    <row r="27" spans="1:14" ht="30" customHeight="1" x14ac:dyDescent="0.3">
      <c r="A27" s="5" t="s">
        <v>202</v>
      </c>
      <c r="B27" s="5" t="s">
        <v>69</v>
      </c>
      <c r="C27" s="5" t="s">
        <v>200</v>
      </c>
      <c r="D27" s="5" t="s">
        <v>65</v>
      </c>
      <c r="E27" s="10">
        <f>일위대가!F221</f>
        <v>8031</v>
      </c>
      <c r="F27" s="10">
        <f>일위대가!H221</f>
        <v>3284</v>
      </c>
      <c r="G27" s="10">
        <f>일위대가!J221</f>
        <v>0</v>
      </c>
      <c r="H27" s="10">
        <f t="shared" si="0"/>
        <v>11315</v>
      </c>
      <c r="I27" s="5" t="s">
        <v>201</v>
      </c>
      <c r="J27" s="5" t="s">
        <v>51</v>
      </c>
      <c r="K27" s="5" t="s">
        <v>51</v>
      </c>
      <c r="L27" s="5" t="s">
        <v>51</v>
      </c>
      <c r="M27" s="5" t="s">
        <v>51</v>
      </c>
      <c r="N27" s="1" t="s">
        <v>51</v>
      </c>
    </row>
    <row r="28" spans="1:14" ht="30" customHeight="1" x14ac:dyDescent="0.3">
      <c r="A28" s="5" t="s">
        <v>206</v>
      </c>
      <c r="B28" s="5" t="s">
        <v>69</v>
      </c>
      <c r="C28" s="5" t="s">
        <v>204</v>
      </c>
      <c r="D28" s="5" t="s">
        <v>65</v>
      </c>
      <c r="E28" s="10">
        <f>일위대가!F229</f>
        <v>11363</v>
      </c>
      <c r="F28" s="10">
        <f>일위대가!H229</f>
        <v>3284</v>
      </c>
      <c r="G28" s="10">
        <f>일위대가!J229</f>
        <v>0</v>
      </c>
      <c r="H28" s="10">
        <f t="shared" si="0"/>
        <v>14647</v>
      </c>
      <c r="I28" s="5" t="s">
        <v>205</v>
      </c>
      <c r="J28" s="5" t="s">
        <v>51</v>
      </c>
      <c r="K28" s="5" t="s">
        <v>51</v>
      </c>
      <c r="L28" s="5" t="s">
        <v>51</v>
      </c>
      <c r="M28" s="5" t="s">
        <v>51</v>
      </c>
      <c r="N28" s="1" t="s">
        <v>51</v>
      </c>
    </row>
    <row r="29" spans="1:14" ht="30" customHeight="1" x14ac:dyDescent="0.3">
      <c r="A29" s="5" t="s">
        <v>213</v>
      </c>
      <c r="B29" s="5" t="s">
        <v>210</v>
      </c>
      <c r="C29" s="5" t="s">
        <v>51</v>
      </c>
      <c r="D29" s="5" t="s">
        <v>211</v>
      </c>
      <c r="E29" s="10">
        <f>일위대가!F235</f>
        <v>2764</v>
      </c>
      <c r="F29" s="10">
        <f>일위대가!H235</f>
        <v>92146</v>
      </c>
      <c r="G29" s="10">
        <f>일위대가!J235</f>
        <v>0</v>
      </c>
      <c r="H29" s="10">
        <f t="shared" si="0"/>
        <v>94910</v>
      </c>
      <c r="I29" s="5" t="s">
        <v>212</v>
      </c>
      <c r="J29" s="5" t="s">
        <v>51</v>
      </c>
      <c r="K29" s="5" t="s">
        <v>51</v>
      </c>
      <c r="L29" s="5" t="s">
        <v>51</v>
      </c>
      <c r="M29" s="5" t="s">
        <v>51</v>
      </c>
      <c r="N29" s="1" t="s">
        <v>51</v>
      </c>
    </row>
    <row r="30" spans="1:14" ht="30" customHeight="1" x14ac:dyDescent="0.3">
      <c r="A30" s="5" t="s">
        <v>217</v>
      </c>
      <c r="B30" s="5" t="s">
        <v>215</v>
      </c>
      <c r="C30" s="5" t="s">
        <v>51</v>
      </c>
      <c r="D30" s="5" t="s">
        <v>211</v>
      </c>
      <c r="E30" s="10">
        <f>일위대가!F241</f>
        <v>13235</v>
      </c>
      <c r="F30" s="10">
        <f>일위대가!H241</f>
        <v>441193</v>
      </c>
      <c r="G30" s="10">
        <f>일위대가!J241</f>
        <v>0</v>
      </c>
      <c r="H30" s="10">
        <f t="shared" si="0"/>
        <v>454428</v>
      </c>
      <c r="I30" s="5" t="s">
        <v>216</v>
      </c>
      <c r="J30" s="5" t="s">
        <v>51</v>
      </c>
      <c r="K30" s="5" t="s">
        <v>51</v>
      </c>
      <c r="L30" s="5" t="s">
        <v>51</v>
      </c>
      <c r="M30" s="5" t="s">
        <v>51</v>
      </c>
      <c r="N30" s="1" t="s">
        <v>51</v>
      </c>
    </row>
    <row r="31" spans="1:14" ht="30" customHeight="1" x14ac:dyDescent="0.3">
      <c r="A31" s="5" t="s">
        <v>228</v>
      </c>
      <c r="B31" s="5" t="s">
        <v>226</v>
      </c>
      <c r="C31" s="5" t="s">
        <v>51</v>
      </c>
      <c r="D31" s="5" t="s">
        <v>211</v>
      </c>
      <c r="E31" s="10">
        <f>일위대가!F247</f>
        <v>58568</v>
      </c>
      <c r="F31" s="10">
        <f>일위대가!H247</f>
        <v>1952267</v>
      </c>
      <c r="G31" s="10">
        <f>일위대가!J247</f>
        <v>0</v>
      </c>
      <c r="H31" s="10">
        <f t="shared" si="0"/>
        <v>2010835</v>
      </c>
      <c r="I31" s="5" t="s">
        <v>227</v>
      </c>
      <c r="J31" s="5" t="s">
        <v>51</v>
      </c>
      <c r="K31" s="5" t="s">
        <v>51</v>
      </c>
      <c r="L31" s="5" t="s">
        <v>51</v>
      </c>
      <c r="M31" s="5" t="s">
        <v>51</v>
      </c>
      <c r="N31" s="1" t="s">
        <v>51</v>
      </c>
    </row>
    <row r="32" spans="1:14" ht="30" customHeight="1" x14ac:dyDescent="0.3">
      <c r="A32" s="5" t="s">
        <v>232</v>
      </c>
      <c r="B32" s="5" t="s">
        <v>230</v>
      </c>
      <c r="C32" s="5" t="s">
        <v>51</v>
      </c>
      <c r="D32" s="5" t="s">
        <v>211</v>
      </c>
      <c r="E32" s="10">
        <f>일위대가!F253</f>
        <v>18618</v>
      </c>
      <c r="F32" s="10">
        <f>일위대가!H253</f>
        <v>620615</v>
      </c>
      <c r="G32" s="10">
        <f>일위대가!J253</f>
        <v>0</v>
      </c>
      <c r="H32" s="10">
        <f t="shared" si="0"/>
        <v>639233</v>
      </c>
      <c r="I32" s="5" t="s">
        <v>231</v>
      </c>
      <c r="J32" s="5" t="s">
        <v>51</v>
      </c>
      <c r="K32" s="5" t="s">
        <v>51</v>
      </c>
      <c r="L32" s="5" t="s">
        <v>51</v>
      </c>
      <c r="M32" s="5" t="s">
        <v>51</v>
      </c>
      <c r="N32" s="1" t="s">
        <v>51</v>
      </c>
    </row>
    <row r="33" spans="1:14" ht="30" customHeight="1" x14ac:dyDescent="0.3">
      <c r="A33" s="5" t="s">
        <v>236</v>
      </c>
      <c r="B33" s="5" t="s">
        <v>234</v>
      </c>
      <c r="C33" s="5" t="s">
        <v>51</v>
      </c>
      <c r="D33" s="5" t="s">
        <v>211</v>
      </c>
      <c r="E33" s="10">
        <f>일위대가!F259</f>
        <v>22859</v>
      </c>
      <c r="F33" s="10">
        <f>일위대가!H259</f>
        <v>761996</v>
      </c>
      <c r="G33" s="10">
        <f>일위대가!J259</f>
        <v>0</v>
      </c>
      <c r="H33" s="10">
        <f t="shared" si="0"/>
        <v>784855</v>
      </c>
      <c r="I33" s="5" t="s">
        <v>235</v>
      </c>
      <c r="J33" s="5" t="s">
        <v>51</v>
      </c>
      <c r="K33" s="5" t="s">
        <v>51</v>
      </c>
      <c r="L33" s="5" t="s">
        <v>51</v>
      </c>
      <c r="M33" s="5" t="s">
        <v>51</v>
      </c>
      <c r="N33" s="1" t="s">
        <v>51</v>
      </c>
    </row>
    <row r="34" spans="1:14" ht="30" customHeight="1" x14ac:dyDescent="0.3">
      <c r="A34" s="5" t="s">
        <v>240</v>
      </c>
      <c r="B34" s="5" t="s">
        <v>238</v>
      </c>
      <c r="C34" s="5" t="s">
        <v>51</v>
      </c>
      <c r="D34" s="5" t="s">
        <v>211</v>
      </c>
      <c r="E34" s="10">
        <f>일위대가!F265</f>
        <v>29971</v>
      </c>
      <c r="F34" s="10">
        <f>일위대가!H265</f>
        <v>999054</v>
      </c>
      <c r="G34" s="10">
        <f>일위대가!J265</f>
        <v>0</v>
      </c>
      <c r="H34" s="10">
        <f t="shared" si="0"/>
        <v>1029025</v>
      </c>
      <c r="I34" s="5" t="s">
        <v>239</v>
      </c>
      <c r="J34" s="5" t="s">
        <v>51</v>
      </c>
      <c r="K34" s="5" t="s">
        <v>51</v>
      </c>
      <c r="L34" s="5" t="s">
        <v>51</v>
      </c>
      <c r="M34" s="5" t="s">
        <v>51</v>
      </c>
      <c r="N34" s="1" t="s">
        <v>51</v>
      </c>
    </row>
    <row r="35" spans="1:14" ht="30" customHeight="1" x14ac:dyDescent="0.3">
      <c r="A35" s="5" t="s">
        <v>245</v>
      </c>
      <c r="B35" s="5" t="s">
        <v>242</v>
      </c>
      <c r="C35" s="5" t="s">
        <v>243</v>
      </c>
      <c r="D35" s="5" t="s">
        <v>65</v>
      </c>
      <c r="E35" s="10">
        <f>일위대가!F274</f>
        <v>13835</v>
      </c>
      <c r="F35" s="10">
        <f>일위대가!H274</f>
        <v>83744</v>
      </c>
      <c r="G35" s="10">
        <f>일위대가!J274</f>
        <v>0</v>
      </c>
      <c r="H35" s="10">
        <f t="shared" si="0"/>
        <v>97579</v>
      </c>
      <c r="I35" s="5" t="s">
        <v>244</v>
      </c>
      <c r="J35" s="5" t="s">
        <v>51</v>
      </c>
      <c r="K35" s="5" t="s">
        <v>51</v>
      </c>
      <c r="L35" s="5" t="s">
        <v>51</v>
      </c>
      <c r="M35" s="5" t="s">
        <v>51</v>
      </c>
      <c r="N35" s="1" t="s">
        <v>51</v>
      </c>
    </row>
    <row r="36" spans="1:14" ht="30" customHeight="1" x14ac:dyDescent="0.3">
      <c r="A36" s="5" t="s">
        <v>249</v>
      </c>
      <c r="B36" s="5" t="s">
        <v>242</v>
      </c>
      <c r="C36" s="5" t="s">
        <v>247</v>
      </c>
      <c r="D36" s="5" t="s">
        <v>65</v>
      </c>
      <c r="E36" s="10">
        <f>일위대가!F283</f>
        <v>16549</v>
      </c>
      <c r="F36" s="10">
        <f>일위대가!H283</f>
        <v>108375</v>
      </c>
      <c r="G36" s="10">
        <f>일위대가!J283</f>
        <v>0</v>
      </c>
      <c r="H36" s="10">
        <f t="shared" ref="H36:H67" si="1">E36+F36+G36</f>
        <v>124924</v>
      </c>
      <c r="I36" s="5" t="s">
        <v>248</v>
      </c>
      <c r="J36" s="5" t="s">
        <v>51</v>
      </c>
      <c r="K36" s="5" t="s">
        <v>51</v>
      </c>
      <c r="L36" s="5" t="s">
        <v>51</v>
      </c>
      <c r="M36" s="5" t="s">
        <v>51</v>
      </c>
      <c r="N36" s="1" t="s">
        <v>51</v>
      </c>
    </row>
    <row r="37" spans="1:14" ht="30" customHeight="1" x14ac:dyDescent="0.3">
      <c r="A37" s="5" t="s">
        <v>254</v>
      </c>
      <c r="B37" s="5" t="s">
        <v>251</v>
      </c>
      <c r="C37" s="5" t="s">
        <v>252</v>
      </c>
      <c r="D37" s="5" t="s">
        <v>88</v>
      </c>
      <c r="E37" s="10">
        <f>일위대가!F293</f>
        <v>2237</v>
      </c>
      <c r="F37" s="10">
        <f>일위대가!H293</f>
        <v>9852</v>
      </c>
      <c r="G37" s="10">
        <f>일위대가!J293</f>
        <v>0</v>
      </c>
      <c r="H37" s="10">
        <f t="shared" si="1"/>
        <v>12089</v>
      </c>
      <c r="I37" s="5" t="s">
        <v>253</v>
      </c>
      <c r="J37" s="5" t="s">
        <v>51</v>
      </c>
      <c r="K37" s="5" t="s">
        <v>51</v>
      </c>
      <c r="L37" s="5" t="s">
        <v>51</v>
      </c>
      <c r="M37" s="5" t="s">
        <v>51</v>
      </c>
      <c r="N37" s="1" t="s">
        <v>51</v>
      </c>
    </row>
    <row r="38" spans="1:14" ht="30" customHeight="1" x14ac:dyDescent="0.3">
      <c r="A38" s="5" t="s">
        <v>258</v>
      </c>
      <c r="B38" s="5" t="s">
        <v>251</v>
      </c>
      <c r="C38" s="5" t="s">
        <v>256</v>
      </c>
      <c r="D38" s="5" t="s">
        <v>88</v>
      </c>
      <c r="E38" s="10">
        <f>일위대가!F303</f>
        <v>2287</v>
      </c>
      <c r="F38" s="10">
        <f>일위대가!H303</f>
        <v>9852</v>
      </c>
      <c r="G38" s="10">
        <f>일위대가!J303</f>
        <v>0</v>
      </c>
      <c r="H38" s="10">
        <f t="shared" si="1"/>
        <v>12139</v>
      </c>
      <c r="I38" s="5" t="s">
        <v>257</v>
      </c>
      <c r="J38" s="5" t="s">
        <v>51</v>
      </c>
      <c r="K38" s="5" t="s">
        <v>51</v>
      </c>
      <c r="L38" s="5" t="s">
        <v>51</v>
      </c>
      <c r="M38" s="5" t="s">
        <v>51</v>
      </c>
      <c r="N38" s="1" t="s">
        <v>51</v>
      </c>
    </row>
    <row r="39" spans="1:14" ht="30" customHeight="1" x14ac:dyDescent="0.3">
      <c r="A39" s="5" t="s">
        <v>262</v>
      </c>
      <c r="B39" s="5" t="s">
        <v>106</v>
      </c>
      <c r="C39" s="5" t="s">
        <v>260</v>
      </c>
      <c r="D39" s="5" t="s">
        <v>65</v>
      </c>
      <c r="E39" s="10">
        <f>일위대가!F311</f>
        <v>13533</v>
      </c>
      <c r="F39" s="10">
        <f>일위대가!H311</f>
        <v>6995</v>
      </c>
      <c r="G39" s="10">
        <f>일위대가!J311</f>
        <v>0</v>
      </c>
      <c r="H39" s="10">
        <f t="shared" si="1"/>
        <v>20528</v>
      </c>
      <c r="I39" s="5" t="s">
        <v>261</v>
      </c>
      <c r="J39" s="5" t="s">
        <v>51</v>
      </c>
      <c r="K39" s="5" t="s">
        <v>51</v>
      </c>
      <c r="L39" s="5" t="s">
        <v>51</v>
      </c>
      <c r="M39" s="5" t="s">
        <v>51</v>
      </c>
      <c r="N39" s="1" t="s">
        <v>51</v>
      </c>
    </row>
    <row r="40" spans="1:14" ht="30" customHeight="1" x14ac:dyDescent="0.3">
      <c r="A40" s="5" t="s">
        <v>266</v>
      </c>
      <c r="B40" s="5" t="s">
        <v>106</v>
      </c>
      <c r="C40" s="5" t="s">
        <v>264</v>
      </c>
      <c r="D40" s="5" t="s">
        <v>65</v>
      </c>
      <c r="E40" s="10">
        <f>일위대가!F319</f>
        <v>13495</v>
      </c>
      <c r="F40" s="10">
        <f>일위대가!H319</f>
        <v>17336</v>
      </c>
      <c r="G40" s="10">
        <f>일위대가!J319</f>
        <v>0</v>
      </c>
      <c r="H40" s="10">
        <f t="shared" si="1"/>
        <v>30831</v>
      </c>
      <c r="I40" s="5" t="s">
        <v>265</v>
      </c>
      <c r="J40" s="5" t="s">
        <v>51</v>
      </c>
      <c r="K40" s="5" t="s">
        <v>51</v>
      </c>
      <c r="L40" s="5" t="s">
        <v>51</v>
      </c>
      <c r="M40" s="5" t="s">
        <v>51</v>
      </c>
      <c r="N40" s="1" t="s">
        <v>51</v>
      </c>
    </row>
    <row r="41" spans="1:14" ht="30" customHeight="1" x14ac:dyDescent="0.3">
      <c r="A41" s="5" t="s">
        <v>270</v>
      </c>
      <c r="B41" s="5" t="s">
        <v>183</v>
      </c>
      <c r="C41" s="5" t="s">
        <v>268</v>
      </c>
      <c r="D41" s="5" t="s">
        <v>88</v>
      </c>
      <c r="E41" s="10">
        <f>일위대가!F325</f>
        <v>1702</v>
      </c>
      <c r="F41" s="10">
        <f>일위대가!H325</f>
        <v>16424</v>
      </c>
      <c r="G41" s="10">
        <f>일위대가!J325</f>
        <v>0</v>
      </c>
      <c r="H41" s="10">
        <f t="shared" si="1"/>
        <v>18126</v>
      </c>
      <c r="I41" s="5" t="s">
        <v>269</v>
      </c>
      <c r="J41" s="5" t="s">
        <v>51</v>
      </c>
      <c r="K41" s="5" t="s">
        <v>51</v>
      </c>
      <c r="L41" s="5" t="s">
        <v>51</v>
      </c>
      <c r="M41" s="5" t="s">
        <v>51</v>
      </c>
      <c r="N41" s="1" t="s">
        <v>51</v>
      </c>
    </row>
    <row r="42" spans="1:14" ht="30" customHeight="1" x14ac:dyDescent="0.3">
      <c r="A42" s="5" t="s">
        <v>274</v>
      </c>
      <c r="B42" s="5" t="s">
        <v>183</v>
      </c>
      <c r="C42" s="5" t="s">
        <v>272</v>
      </c>
      <c r="D42" s="5" t="s">
        <v>88</v>
      </c>
      <c r="E42" s="10">
        <f>일위대가!F331</f>
        <v>4163</v>
      </c>
      <c r="F42" s="10">
        <f>일위대가!H331</f>
        <v>21442</v>
      </c>
      <c r="G42" s="10">
        <f>일위대가!J331</f>
        <v>0</v>
      </c>
      <c r="H42" s="10">
        <f t="shared" si="1"/>
        <v>25605</v>
      </c>
      <c r="I42" s="5" t="s">
        <v>273</v>
      </c>
      <c r="J42" s="5" t="s">
        <v>51</v>
      </c>
      <c r="K42" s="5" t="s">
        <v>51</v>
      </c>
      <c r="L42" s="5" t="s">
        <v>51</v>
      </c>
      <c r="M42" s="5" t="s">
        <v>51</v>
      </c>
      <c r="N42" s="1" t="s">
        <v>51</v>
      </c>
    </row>
    <row r="43" spans="1:14" ht="30" customHeight="1" x14ac:dyDescent="0.3">
      <c r="A43" s="5" t="s">
        <v>287</v>
      </c>
      <c r="B43" s="5" t="s">
        <v>284</v>
      </c>
      <c r="C43" s="5" t="s">
        <v>285</v>
      </c>
      <c r="D43" s="5" t="s">
        <v>65</v>
      </c>
      <c r="E43" s="10">
        <f>일위대가!F340</f>
        <v>539</v>
      </c>
      <c r="F43" s="10">
        <f>일위대가!H340</f>
        <v>9852</v>
      </c>
      <c r="G43" s="10">
        <f>일위대가!J340</f>
        <v>0</v>
      </c>
      <c r="H43" s="10">
        <f t="shared" si="1"/>
        <v>10391</v>
      </c>
      <c r="I43" s="5" t="s">
        <v>286</v>
      </c>
      <c r="J43" s="5" t="s">
        <v>51</v>
      </c>
      <c r="K43" s="5" t="s">
        <v>51</v>
      </c>
      <c r="L43" s="5" t="s">
        <v>51</v>
      </c>
      <c r="M43" s="5" t="s">
        <v>51</v>
      </c>
      <c r="N43" s="1" t="s">
        <v>51</v>
      </c>
    </row>
    <row r="44" spans="1:14" ht="30" customHeight="1" x14ac:dyDescent="0.3">
      <c r="A44" s="5" t="s">
        <v>292</v>
      </c>
      <c r="B44" s="5" t="s">
        <v>289</v>
      </c>
      <c r="C44" s="5" t="s">
        <v>290</v>
      </c>
      <c r="D44" s="5" t="s">
        <v>58</v>
      </c>
      <c r="E44" s="10">
        <f>일위대가!F346</f>
        <v>1477</v>
      </c>
      <c r="F44" s="10">
        <f>일위대가!H346</f>
        <v>29557</v>
      </c>
      <c r="G44" s="10">
        <f>일위대가!J346</f>
        <v>0</v>
      </c>
      <c r="H44" s="10">
        <f t="shared" si="1"/>
        <v>31034</v>
      </c>
      <c r="I44" s="5" t="s">
        <v>291</v>
      </c>
      <c r="J44" s="5" t="s">
        <v>51</v>
      </c>
      <c r="K44" s="5" t="s">
        <v>51</v>
      </c>
      <c r="L44" s="5" t="s">
        <v>51</v>
      </c>
      <c r="M44" s="5" t="s">
        <v>51</v>
      </c>
      <c r="N44" s="1" t="s">
        <v>51</v>
      </c>
    </row>
    <row r="45" spans="1:14" ht="30" customHeight="1" x14ac:dyDescent="0.3">
      <c r="A45" s="5" t="s">
        <v>297</v>
      </c>
      <c r="B45" s="5" t="s">
        <v>294</v>
      </c>
      <c r="C45" s="5" t="s">
        <v>295</v>
      </c>
      <c r="D45" s="5" t="s">
        <v>58</v>
      </c>
      <c r="E45" s="10">
        <f>일위대가!F352</f>
        <v>3986</v>
      </c>
      <c r="F45" s="10">
        <f>일위대가!H352</f>
        <v>29557</v>
      </c>
      <c r="G45" s="10">
        <f>일위대가!J352</f>
        <v>0</v>
      </c>
      <c r="H45" s="10">
        <f t="shared" si="1"/>
        <v>33543</v>
      </c>
      <c r="I45" s="5" t="s">
        <v>296</v>
      </c>
      <c r="J45" s="5" t="s">
        <v>51</v>
      </c>
      <c r="K45" s="5" t="s">
        <v>51</v>
      </c>
      <c r="L45" s="5" t="s">
        <v>51</v>
      </c>
      <c r="M45" s="5" t="s">
        <v>51</v>
      </c>
      <c r="N45" s="1" t="s">
        <v>51</v>
      </c>
    </row>
    <row r="46" spans="1:14" ht="30" customHeight="1" x14ac:dyDescent="0.3">
      <c r="A46" s="5" t="s">
        <v>302</v>
      </c>
      <c r="B46" s="5" t="s">
        <v>299</v>
      </c>
      <c r="C46" s="5" t="s">
        <v>300</v>
      </c>
      <c r="D46" s="5" t="s">
        <v>65</v>
      </c>
      <c r="E46" s="10">
        <f>일위대가!F360</f>
        <v>689</v>
      </c>
      <c r="F46" s="10">
        <f>일위대가!H360</f>
        <v>2380</v>
      </c>
      <c r="G46" s="10">
        <f>일위대가!J360</f>
        <v>0</v>
      </c>
      <c r="H46" s="10">
        <f t="shared" si="1"/>
        <v>3069</v>
      </c>
      <c r="I46" s="5" t="s">
        <v>301</v>
      </c>
      <c r="J46" s="5" t="s">
        <v>51</v>
      </c>
      <c r="K46" s="5" t="s">
        <v>51</v>
      </c>
      <c r="L46" s="5" t="s">
        <v>51</v>
      </c>
      <c r="M46" s="5" t="s">
        <v>51</v>
      </c>
      <c r="N46" s="1" t="s">
        <v>51</v>
      </c>
    </row>
    <row r="47" spans="1:14" ht="30" customHeight="1" x14ac:dyDescent="0.3">
      <c r="A47" s="5" t="s">
        <v>306</v>
      </c>
      <c r="B47" s="5" t="s">
        <v>299</v>
      </c>
      <c r="C47" s="5" t="s">
        <v>304</v>
      </c>
      <c r="D47" s="5" t="s">
        <v>65</v>
      </c>
      <c r="E47" s="10">
        <f>일위대가!F368</f>
        <v>675</v>
      </c>
      <c r="F47" s="10">
        <f>일위대가!H368</f>
        <v>1915</v>
      </c>
      <c r="G47" s="10">
        <f>일위대가!J368</f>
        <v>0</v>
      </c>
      <c r="H47" s="10">
        <f t="shared" si="1"/>
        <v>2590</v>
      </c>
      <c r="I47" s="5" t="s">
        <v>305</v>
      </c>
      <c r="J47" s="5" t="s">
        <v>51</v>
      </c>
      <c r="K47" s="5" t="s">
        <v>51</v>
      </c>
      <c r="L47" s="5" t="s">
        <v>51</v>
      </c>
      <c r="M47" s="5" t="s">
        <v>51</v>
      </c>
      <c r="N47" s="1" t="s">
        <v>51</v>
      </c>
    </row>
    <row r="48" spans="1:14" ht="30" customHeight="1" x14ac:dyDescent="0.3">
      <c r="A48" s="5" t="s">
        <v>311</v>
      </c>
      <c r="B48" s="5" t="s">
        <v>308</v>
      </c>
      <c r="C48" s="5" t="s">
        <v>309</v>
      </c>
      <c r="D48" s="5" t="s">
        <v>58</v>
      </c>
      <c r="E48" s="10">
        <f>일위대가!F374</f>
        <v>1917</v>
      </c>
      <c r="F48" s="10">
        <f>일위대가!H374</f>
        <v>17788</v>
      </c>
      <c r="G48" s="10">
        <f>일위대가!J374</f>
        <v>0</v>
      </c>
      <c r="H48" s="10">
        <f t="shared" si="1"/>
        <v>19705</v>
      </c>
      <c r="I48" s="5" t="s">
        <v>310</v>
      </c>
      <c r="J48" s="5" t="s">
        <v>51</v>
      </c>
      <c r="K48" s="5" t="s">
        <v>51</v>
      </c>
      <c r="L48" s="5" t="s">
        <v>51</v>
      </c>
      <c r="M48" s="5" t="s">
        <v>51</v>
      </c>
      <c r="N48" s="1" t="s">
        <v>51</v>
      </c>
    </row>
    <row r="49" spans="1:14" ht="30" customHeight="1" x14ac:dyDescent="0.3">
      <c r="A49" s="5" t="s">
        <v>315</v>
      </c>
      <c r="B49" s="5" t="s">
        <v>308</v>
      </c>
      <c r="C49" s="5" t="s">
        <v>313</v>
      </c>
      <c r="D49" s="5" t="s">
        <v>58</v>
      </c>
      <c r="E49" s="10">
        <f>일위대가!F380</f>
        <v>2568</v>
      </c>
      <c r="F49" s="10">
        <f>일위대가!H380</f>
        <v>17788</v>
      </c>
      <c r="G49" s="10">
        <f>일위대가!J380</f>
        <v>0</v>
      </c>
      <c r="H49" s="10">
        <f t="shared" si="1"/>
        <v>20356</v>
      </c>
      <c r="I49" s="5" t="s">
        <v>314</v>
      </c>
      <c r="J49" s="5" t="s">
        <v>51</v>
      </c>
      <c r="K49" s="5" t="s">
        <v>51</v>
      </c>
      <c r="L49" s="5" t="s">
        <v>51</v>
      </c>
      <c r="M49" s="5" t="s">
        <v>51</v>
      </c>
      <c r="N49" s="1" t="s">
        <v>51</v>
      </c>
    </row>
    <row r="50" spans="1:14" ht="30" customHeight="1" x14ac:dyDescent="0.3">
      <c r="A50" s="5" t="s">
        <v>319</v>
      </c>
      <c r="B50" s="5" t="s">
        <v>308</v>
      </c>
      <c r="C50" s="5" t="s">
        <v>317</v>
      </c>
      <c r="D50" s="5" t="s">
        <v>58</v>
      </c>
      <c r="E50" s="10">
        <f>일위대가!F386</f>
        <v>55533</v>
      </c>
      <c r="F50" s="10">
        <f>일위대가!H386</f>
        <v>17788</v>
      </c>
      <c r="G50" s="10">
        <f>일위대가!J386</f>
        <v>0</v>
      </c>
      <c r="H50" s="10">
        <f t="shared" si="1"/>
        <v>73321</v>
      </c>
      <c r="I50" s="5" t="s">
        <v>318</v>
      </c>
      <c r="J50" s="5" t="s">
        <v>51</v>
      </c>
      <c r="K50" s="5" t="s">
        <v>51</v>
      </c>
      <c r="L50" s="5" t="s">
        <v>51</v>
      </c>
      <c r="M50" s="5" t="s">
        <v>51</v>
      </c>
      <c r="N50" s="1" t="s">
        <v>51</v>
      </c>
    </row>
    <row r="51" spans="1:14" ht="30" customHeight="1" x14ac:dyDescent="0.3">
      <c r="A51" s="5" t="s">
        <v>327</v>
      </c>
      <c r="B51" s="5" t="s">
        <v>160</v>
      </c>
      <c r="C51" s="5" t="s">
        <v>325</v>
      </c>
      <c r="D51" s="5" t="s">
        <v>58</v>
      </c>
      <c r="E51" s="10">
        <f>일위대가!F392</f>
        <v>3189</v>
      </c>
      <c r="F51" s="10">
        <f>일위대가!H392</f>
        <v>10947</v>
      </c>
      <c r="G51" s="10">
        <f>일위대가!J392</f>
        <v>0</v>
      </c>
      <c r="H51" s="10">
        <f t="shared" si="1"/>
        <v>14136</v>
      </c>
      <c r="I51" s="5" t="s">
        <v>326</v>
      </c>
      <c r="J51" s="5" t="s">
        <v>51</v>
      </c>
      <c r="K51" s="5" t="s">
        <v>51</v>
      </c>
      <c r="L51" s="5" t="s">
        <v>51</v>
      </c>
      <c r="M51" s="5" t="s">
        <v>51</v>
      </c>
      <c r="N51" s="1" t="s">
        <v>51</v>
      </c>
    </row>
    <row r="52" spans="1:14" ht="30" customHeight="1" x14ac:dyDescent="0.3">
      <c r="A52" s="5" t="s">
        <v>341</v>
      </c>
      <c r="B52" s="5" t="s">
        <v>338</v>
      </c>
      <c r="C52" s="5" t="s">
        <v>339</v>
      </c>
      <c r="D52" s="5" t="s">
        <v>58</v>
      </c>
      <c r="E52" s="10">
        <f>일위대가!F398</f>
        <v>57996</v>
      </c>
      <c r="F52" s="10">
        <f>일위대가!H398</f>
        <v>100986</v>
      </c>
      <c r="G52" s="10">
        <f>일위대가!J398</f>
        <v>0</v>
      </c>
      <c r="H52" s="10">
        <f t="shared" si="1"/>
        <v>158982</v>
      </c>
      <c r="I52" s="5" t="s">
        <v>340</v>
      </c>
      <c r="J52" s="5" t="s">
        <v>51</v>
      </c>
      <c r="K52" s="5" t="s">
        <v>51</v>
      </c>
      <c r="L52" s="5" t="s">
        <v>51</v>
      </c>
      <c r="M52" s="5" t="s">
        <v>51</v>
      </c>
      <c r="N52" s="1" t="s">
        <v>51</v>
      </c>
    </row>
    <row r="53" spans="1:14" ht="30" customHeight="1" x14ac:dyDescent="0.3">
      <c r="A53" s="5" t="s">
        <v>360</v>
      </c>
      <c r="B53" s="5" t="s">
        <v>357</v>
      </c>
      <c r="C53" s="5" t="s">
        <v>358</v>
      </c>
      <c r="D53" s="5" t="s">
        <v>65</v>
      </c>
      <c r="E53" s="10">
        <f>일위대가!F407</f>
        <v>1016</v>
      </c>
      <c r="F53" s="10">
        <f>일위대가!H407</f>
        <v>10837</v>
      </c>
      <c r="G53" s="10">
        <f>일위대가!J407</f>
        <v>0</v>
      </c>
      <c r="H53" s="10">
        <f t="shared" si="1"/>
        <v>11853</v>
      </c>
      <c r="I53" s="5" t="s">
        <v>359</v>
      </c>
      <c r="J53" s="5" t="s">
        <v>51</v>
      </c>
      <c r="K53" s="5" t="s">
        <v>51</v>
      </c>
      <c r="L53" s="5" t="s">
        <v>51</v>
      </c>
      <c r="M53" s="5" t="s">
        <v>51</v>
      </c>
      <c r="N53" s="1" t="s">
        <v>51</v>
      </c>
    </row>
    <row r="54" spans="1:14" ht="30" customHeight="1" x14ac:dyDescent="0.3">
      <c r="A54" s="5" t="s">
        <v>365</v>
      </c>
      <c r="B54" s="5" t="s">
        <v>284</v>
      </c>
      <c r="C54" s="5" t="s">
        <v>363</v>
      </c>
      <c r="D54" s="5" t="s">
        <v>65</v>
      </c>
      <c r="E54" s="10">
        <f>일위대가!F416</f>
        <v>571</v>
      </c>
      <c r="F54" s="10">
        <f>일위대가!H416</f>
        <v>10947</v>
      </c>
      <c r="G54" s="10">
        <f>일위대가!J416</f>
        <v>0</v>
      </c>
      <c r="H54" s="10">
        <f t="shared" si="1"/>
        <v>11518</v>
      </c>
      <c r="I54" s="5" t="s">
        <v>364</v>
      </c>
      <c r="J54" s="5" t="s">
        <v>51</v>
      </c>
      <c r="K54" s="5" t="s">
        <v>51</v>
      </c>
      <c r="L54" s="5" t="s">
        <v>51</v>
      </c>
      <c r="M54" s="5" t="s">
        <v>51</v>
      </c>
      <c r="N54" s="1" t="s">
        <v>51</v>
      </c>
    </row>
    <row r="55" spans="1:14" ht="30" customHeight="1" x14ac:dyDescent="0.3">
      <c r="A55" s="5" t="s">
        <v>370</v>
      </c>
      <c r="B55" s="5" t="s">
        <v>294</v>
      </c>
      <c r="C55" s="5" t="s">
        <v>368</v>
      </c>
      <c r="D55" s="5" t="s">
        <v>58</v>
      </c>
      <c r="E55" s="10">
        <f>일위대가!F422</f>
        <v>1512</v>
      </c>
      <c r="F55" s="10">
        <f>일위대가!H422</f>
        <v>29557</v>
      </c>
      <c r="G55" s="10">
        <f>일위대가!J422</f>
        <v>0</v>
      </c>
      <c r="H55" s="10">
        <f t="shared" si="1"/>
        <v>31069</v>
      </c>
      <c r="I55" s="5" t="s">
        <v>369</v>
      </c>
      <c r="J55" s="5" t="s">
        <v>51</v>
      </c>
      <c r="K55" s="5" t="s">
        <v>51</v>
      </c>
      <c r="L55" s="5" t="s">
        <v>51</v>
      </c>
      <c r="M55" s="5" t="s">
        <v>51</v>
      </c>
      <c r="N55" s="1" t="s">
        <v>51</v>
      </c>
    </row>
    <row r="56" spans="1:14" ht="30" customHeight="1" x14ac:dyDescent="0.3">
      <c r="A56" s="5" t="s">
        <v>374</v>
      </c>
      <c r="B56" s="5" t="s">
        <v>372</v>
      </c>
      <c r="C56" s="5" t="s">
        <v>300</v>
      </c>
      <c r="D56" s="5" t="s">
        <v>65</v>
      </c>
      <c r="E56" s="10">
        <f>일위대가!F430</f>
        <v>691</v>
      </c>
      <c r="F56" s="10">
        <f>일위대가!H430</f>
        <v>2463</v>
      </c>
      <c r="G56" s="10">
        <f>일위대가!J430</f>
        <v>0</v>
      </c>
      <c r="H56" s="10">
        <f t="shared" si="1"/>
        <v>3154</v>
      </c>
      <c r="I56" s="5" t="s">
        <v>373</v>
      </c>
      <c r="J56" s="5" t="s">
        <v>51</v>
      </c>
      <c r="K56" s="5" t="s">
        <v>51</v>
      </c>
      <c r="L56" s="5" t="s">
        <v>51</v>
      </c>
      <c r="M56" s="5" t="s">
        <v>51</v>
      </c>
      <c r="N56" s="1" t="s">
        <v>51</v>
      </c>
    </row>
    <row r="57" spans="1:14" ht="30" customHeight="1" x14ac:dyDescent="0.3">
      <c r="A57" s="5" t="s">
        <v>379</v>
      </c>
      <c r="B57" s="5" t="s">
        <v>377</v>
      </c>
      <c r="C57" s="5" t="s">
        <v>300</v>
      </c>
      <c r="D57" s="5" t="s">
        <v>65</v>
      </c>
      <c r="E57" s="10">
        <f>일위대가!F438</f>
        <v>686</v>
      </c>
      <c r="F57" s="10">
        <f>일위대가!H438</f>
        <v>2326</v>
      </c>
      <c r="G57" s="10">
        <f>일위대가!J438</f>
        <v>0</v>
      </c>
      <c r="H57" s="10">
        <f t="shared" si="1"/>
        <v>3012</v>
      </c>
      <c r="I57" s="5" t="s">
        <v>378</v>
      </c>
      <c r="J57" s="5" t="s">
        <v>51</v>
      </c>
      <c r="K57" s="5" t="s">
        <v>51</v>
      </c>
      <c r="L57" s="5" t="s">
        <v>51</v>
      </c>
      <c r="M57" s="5" t="s">
        <v>51</v>
      </c>
      <c r="N57" s="1" t="s">
        <v>51</v>
      </c>
    </row>
    <row r="58" spans="1:14" ht="30" customHeight="1" x14ac:dyDescent="0.3">
      <c r="A58" s="5" t="s">
        <v>383</v>
      </c>
      <c r="B58" s="5" t="s">
        <v>381</v>
      </c>
      <c r="C58" s="5" t="s">
        <v>300</v>
      </c>
      <c r="D58" s="5" t="s">
        <v>65</v>
      </c>
      <c r="E58" s="10">
        <f>일위대가!F446</f>
        <v>686</v>
      </c>
      <c r="F58" s="10">
        <f>일위대가!H446</f>
        <v>2298</v>
      </c>
      <c r="G58" s="10">
        <f>일위대가!J446</f>
        <v>0</v>
      </c>
      <c r="H58" s="10">
        <f t="shared" si="1"/>
        <v>2984</v>
      </c>
      <c r="I58" s="5" t="s">
        <v>382</v>
      </c>
      <c r="J58" s="5" t="s">
        <v>51</v>
      </c>
      <c r="K58" s="5" t="s">
        <v>51</v>
      </c>
      <c r="L58" s="5" t="s">
        <v>51</v>
      </c>
      <c r="M58" s="5" t="s">
        <v>51</v>
      </c>
      <c r="N58" s="1" t="s">
        <v>51</v>
      </c>
    </row>
    <row r="59" spans="1:14" ht="30" customHeight="1" x14ac:dyDescent="0.3">
      <c r="A59" s="5" t="s">
        <v>388</v>
      </c>
      <c r="B59" s="5" t="s">
        <v>385</v>
      </c>
      <c r="C59" s="5" t="s">
        <v>386</v>
      </c>
      <c r="D59" s="5" t="s">
        <v>58</v>
      </c>
      <c r="E59" s="10">
        <f>일위대가!F452</f>
        <v>2159</v>
      </c>
      <c r="F59" s="10">
        <f>일위대가!H452</f>
        <v>71976</v>
      </c>
      <c r="G59" s="10">
        <f>일위대가!J452</f>
        <v>0</v>
      </c>
      <c r="H59" s="10">
        <f t="shared" si="1"/>
        <v>74135</v>
      </c>
      <c r="I59" s="5" t="s">
        <v>387</v>
      </c>
      <c r="J59" s="5" t="s">
        <v>51</v>
      </c>
      <c r="K59" s="5" t="s">
        <v>51</v>
      </c>
      <c r="L59" s="5" t="s">
        <v>51</v>
      </c>
      <c r="M59" s="5" t="s">
        <v>51</v>
      </c>
      <c r="N59" s="1" t="s">
        <v>51</v>
      </c>
    </row>
    <row r="60" spans="1:14" ht="30" customHeight="1" x14ac:dyDescent="0.3">
      <c r="A60" s="5" t="s">
        <v>393</v>
      </c>
      <c r="B60" s="5" t="s">
        <v>390</v>
      </c>
      <c r="C60" s="5" t="s">
        <v>391</v>
      </c>
      <c r="D60" s="5" t="s">
        <v>58</v>
      </c>
      <c r="E60" s="10">
        <f>일위대가!F458</f>
        <v>1814</v>
      </c>
      <c r="F60" s="10">
        <f>일위대가!H458</f>
        <v>60482</v>
      </c>
      <c r="G60" s="10">
        <f>일위대가!J458</f>
        <v>0</v>
      </c>
      <c r="H60" s="10">
        <f t="shared" si="1"/>
        <v>62296</v>
      </c>
      <c r="I60" s="5" t="s">
        <v>392</v>
      </c>
      <c r="J60" s="5" t="s">
        <v>51</v>
      </c>
      <c r="K60" s="5" t="s">
        <v>51</v>
      </c>
      <c r="L60" s="5" t="s">
        <v>51</v>
      </c>
      <c r="M60" s="5" t="s">
        <v>51</v>
      </c>
      <c r="N60" s="1" t="s">
        <v>51</v>
      </c>
    </row>
    <row r="61" spans="1:14" ht="30" customHeight="1" x14ac:dyDescent="0.3">
      <c r="A61" s="5" t="s">
        <v>398</v>
      </c>
      <c r="B61" s="5" t="s">
        <v>395</v>
      </c>
      <c r="C61" s="5" t="s">
        <v>396</v>
      </c>
      <c r="D61" s="5" t="s">
        <v>58</v>
      </c>
      <c r="E61" s="10">
        <f>일위대가!F464</f>
        <v>1272</v>
      </c>
      <c r="F61" s="10">
        <f>일위대가!H464</f>
        <v>42419</v>
      </c>
      <c r="G61" s="10">
        <f>일위대가!J464</f>
        <v>0</v>
      </c>
      <c r="H61" s="10">
        <f t="shared" si="1"/>
        <v>43691</v>
      </c>
      <c r="I61" s="5" t="s">
        <v>397</v>
      </c>
      <c r="J61" s="5" t="s">
        <v>51</v>
      </c>
      <c r="K61" s="5" t="s">
        <v>51</v>
      </c>
      <c r="L61" s="5" t="s">
        <v>51</v>
      </c>
      <c r="M61" s="5" t="s">
        <v>51</v>
      </c>
      <c r="N61" s="1" t="s">
        <v>51</v>
      </c>
    </row>
    <row r="62" spans="1:14" ht="30" customHeight="1" x14ac:dyDescent="0.3">
      <c r="A62" s="5" t="s">
        <v>403</v>
      </c>
      <c r="B62" s="5" t="s">
        <v>400</v>
      </c>
      <c r="C62" s="5" t="s">
        <v>401</v>
      </c>
      <c r="D62" s="5" t="s">
        <v>58</v>
      </c>
      <c r="E62" s="10">
        <f>일위대가!F470</f>
        <v>960</v>
      </c>
      <c r="F62" s="10">
        <f>일위대가!H470</f>
        <v>32020</v>
      </c>
      <c r="G62" s="10">
        <f>일위대가!J470</f>
        <v>0</v>
      </c>
      <c r="H62" s="10">
        <f t="shared" si="1"/>
        <v>32980</v>
      </c>
      <c r="I62" s="5" t="s">
        <v>402</v>
      </c>
      <c r="J62" s="5" t="s">
        <v>51</v>
      </c>
      <c r="K62" s="5" t="s">
        <v>51</v>
      </c>
      <c r="L62" s="5" t="s">
        <v>51</v>
      </c>
      <c r="M62" s="5" t="s">
        <v>51</v>
      </c>
      <c r="N62" s="1" t="s">
        <v>51</v>
      </c>
    </row>
    <row r="63" spans="1:14" ht="30" customHeight="1" x14ac:dyDescent="0.3">
      <c r="A63" s="5" t="s">
        <v>408</v>
      </c>
      <c r="B63" s="5" t="s">
        <v>405</v>
      </c>
      <c r="C63" s="5" t="s">
        <v>406</v>
      </c>
      <c r="D63" s="5" t="s">
        <v>58</v>
      </c>
      <c r="E63" s="10">
        <f>일위대가!F476</f>
        <v>960</v>
      </c>
      <c r="F63" s="10">
        <f>일위대가!H476</f>
        <v>32020</v>
      </c>
      <c r="G63" s="10">
        <f>일위대가!J476</f>
        <v>0</v>
      </c>
      <c r="H63" s="10">
        <f t="shared" si="1"/>
        <v>32980</v>
      </c>
      <c r="I63" s="5" t="s">
        <v>407</v>
      </c>
      <c r="J63" s="5" t="s">
        <v>51</v>
      </c>
      <c r="K63" s="5" t="s">
        <v>51</v>
      </c>
      <c r="L63" s="5" t="s">
        <v>51</v>
      </c>
      <c r="M63" s="5" t="s">
        <v>51</v>
      </c>
      <c r="N63" s="1" t="s">
        <v>51</v>
      </c>
    </row>
    <row r="64" spans="1:14" ht="30" customHeight="1" x14ac:dyDescent="0.3">
      <c r="A64" s="5" t="s">
        <v>413</v>
      </c>
      <c r="B64" s="5" t="s">
        <v>410</v>
      </c>
      <c r="C64" s="5" t="s">
        <v>411</v>
      </c>
      <c r="D64" s="5" t="s">
        <v>58</v>
      </c>
      <c r="E64" s="10">
        <f>일위대가!F482</f>
        <v>2020</v>
      </c>
      <c r="F64" s="10">
        <f>일위대가!H482</f>
        <v>23262</v>
      </c>
      <c r="G64" s="10">
        <f>일위대가!J482</f>
        <v>0</v>
      </c>
      <c r="H64" s="10">
        <f t="shared" si="1"/>
        <v>25282</v>
      </c>
      <c r="I64" s="5" t="s">
        <v>412</v>
      </c>
      <c r="J64" s="5" t="s">
        <v>51</v>
      </c>
      <c r="K64" s="5" t="s">
        <v>51</v>
      </c>
      <c r="L64" s="5" t="s">
        <v>51</v>
      </c>
      <c r="M64" s="5" t="s">
        <v>51</v>
      </c>
      <c r="N64" s="1" t="s">
        <v>51</v>
      </c>
    </row>
    <row r="65" spans="1:14" ht="30" customHeight="1" x14ac:dyDescent="0.3">
      <c r="A65" s="5" t="s">
        <v>417</v>
      </c>
      <c r="B65" s="5" t="s">
        <v>410</v>
      </c>
      <c r="C65" s="5" t="s">
        <v>415</v>
      </c>
      <c r="D65" s="5" t="s">
        <v>58</v>
      </c>
      <c r="E65" s="10">
        <f>일위대가!F488</f>
        <v>2548</v>
      </c>
      <c r="F65" s="10">
        <f>일위대가!H488</f>
        <v>23262</v>
      </c>
      <c r="G65" s="10">
        <f>일위대가!J488</f>
        <v>0</v>
      </c>
      <c r="H65" s="10">
        <f t="shared" si="1"/>
        <v>25810</v>
      </c>
      <c r="I65" s="5" t="s">
        <v>416</v>
      </c>
      <c r="J65" s="5" t="s">
        <v>51</v>
      </c>
      <c r="K65" s="5" t="s">
        <v>51</v>
      </c>
      <c r="L65" s="5" t="s">
        <v>51</v>
      </c>
      <c r="M65" s="5" t="s">
        <v>51</v>
      </c>
      <c r="N65" s="1" t="s">
        <v>51</v>
      </c>
    </row>
    <row r="66" spans="1:14" ht="30" customHeight="1" x14ac:dyDescent="0.3">
      <c r="A66" s="5" t="s">
        <v>421</v>
      </c>
      <c r="B66" s="5" t="s">
        <v>410</v>
      </c>
      <c r="C66" s="5" t="s">
        <v>419</v>
      </c>
      <c r="D66" s="5" t="s">
        <v>58</v>
      </c>
      <c r="E66" s="10">
        <f>일위대가!F494</f>
        <v>3090</v>
      </c>
      <c r="F66" s="10">
        <f>일위대가!H494</f>
        <v>23262</v>
      </c>
      <c r="G66" s="10">
        <f>일위대가!J494</f>
        <v>0</v>
      </c>
      <c r="H66" s="10">
        <f t="shared" si="1"/>
        <v>26352</v>
      </c>
      <c r="I66" s="5" t="s">
        <v>420</v>
      </c>
      <c r="J66" s="5" t="s">
        <v>51</v>
      </c>
      <c r="K66" s="5" t="s">
        <v>51</v>
      </c>
      <c r="L66" s="5" t="s">
        <v>51</v>
      </c>
      <c r="M66" s="5" t="s">
        <v>51</v>
      </c>
      <c r="N66" s="1" t="s">
        <v>51</v>
      </c>
    </row>
    <row r="67" spans="1:14" ht="30" customHeight="1" x14ac:dyDescent="0.3">
      <c r="A67" s="5" t="s">
        <v>426</v>
      </c>
      <c r="B67" s="5" t="s">
        <v>423</v>
      </c>
      <c r="C67" s="5" t="s">
        <v>424</v>
      </c>
      <c r="D67" s="5" t="s">
        <v>58</v>
      </c>
      <c r="E67" s="10">
        <f>일위대가!F500</f>
        <v>56697</v>
      </c>
      <c r="F67" s="10">
        <f>일위대가!H500</f>
        <v>23262</v>
      </c>
      <c r="G67" s="10">
        <f>일위대가!J500</f>
        <v>0</v>
      </c>
      <c r="H67" s="10">
        <f t="shared" si="1"/>
        <v>79959</v>
      </c>
      <c r="I67" s="5" t="s">
        <v>425</v>
      </c>
      <c r="J67" s="5" t="s">
        <v>51</v>
      </c>
      <c r="K67" s="5" t="s">
        <v>51</v>
      </c>
      <c r="L67" s="5" t="s">
        <v>51</v>
      </c>
      <c r="M67" s="5" t="s">
        <v>51</v>
      </c>
      <c r="N67" s="1" t="s">
        <v>51</v>
      </c>
    </row>
    <row r="68" spans="1:14" ht="30" customHeight="1" x14ac:dyDescent="0.3">
      <c r="A68" s="5" t="s">
        <v>430</v>
      </c>
      <c r="B68" s="5" t="s">
        <v>308</v>
      </c>
      <c r="C68" s="5" t="s">
        <v>428</v>
      </c>
      <c r="D68" s="5" t="s">
        <v>58</v>
      </c>
      <c r="E68" s="10">
        <f>일위대가!F506</f>
        <v>1467</v>
      </c>
      <c r="F68" s="10">
        <f>일위대가!H506</f>
        <v>17788</v>
      </c>
      <c r="G68" s="10">
        <f>일위대가!J506</f>
        <v>0</v>
      </c>
      <c r="H68" s="10">
        <f t="shared" ref="H68:H95" si="2">E68+F68+G68</f>
        <v>19255</v>
      </c>
      <c r="I68" s="5" t="s">
        <v>429</v>
      </c>
      <c r="J68" s="5" t="s">
        <v>51</v>
      </c>
      <c r="K68" s="5" t="s">
        <v>51</v>
      </c>
      <c r="L68" s="5" t="s">
        <v>51</v>
      </c>
      <c r="M68" s="5" t="s">
        <v>51</v>
      </c>
      <c r="N68" s="1" t="s">
        <v>51</v>
      </c>
    </row>
    <row r="69" spans="1:14" ht="30" customHeight="1" x14ac:dyDescent="0.3">
      <c r="A69" s="5" t="s">
        <v>458</v>
      </c>
      <c r="B69" s="5" t="s">
        <v>284</v>
      </c>
      <c r="C69" s="5" t="s">
        <v>456</v>
      </c>
      <c r="D69" s="5" t="s">
        <v>65</v>
      </c>
      <c r="E69" s="10">
        <f>일위대가!F515</f>
        <v>719</v>
      </c>
      <c r="F69" s="10">
        <f>일위대가!H515</f>
        <v>11822</v>
      </c>
      <c r="G69" s="10">
        <f>일위대가!J515</f>
        <v>0</v>
      </c>
      <c r="H69" s="10">
        <f t="shared" si="2"/>
        <v>12541</v>
      </c>
      <c r="I69" s="5" t="s">
        <v>457</v>
      </c>
      <c r="J69" s="5" t="s">
        <v>51</v>
      </c>
      <c r="K69" s="5" t="s">
        <v>51</v>
      </c>
      <c r="L69" s="5" t="s">
        <v>51</v>
      </c>
      <c r="M69" s="5" t="s">
        <v>51</v>
      </c>
      <c r="N69" s="1" t="s">
        <v>51</v>
      </c>
    </row>
    <row r="70" spans="1:14" ht="30" customHeight="1" x14ac:dyDescent="0.3">
      <c r="A70" s="5" t="s">
        <v>468</v>
      </c>
      <c r="B70" s="5" t="s">
        <v>466</v>
      </c>
      <c r="C70" s="5" t="s">
        <v>300</v>
      </c>
      <c r="D70" s="5" t="s">
        <v>65</v>
      </c>
      <c r="E70" s="10">
        <f>일위대가!F523</f>
        <v>685</v>
      </c>
      <c r="F70" s="10">
        <f>일위대가!H523</f>
        <v>2271</v>
      </c>
      <c r="G70" s="10">
        <f>일위대가!J523</f>
        <v>0</v>
      </c>
      <c r="H70" s="10">
        <f t="shared" si="2"/>
        <v>2956</v>
      </c>
      <c r="I70" s="5" t="s">
        <v>467</v>
      </c>
      <c r="J70" s="5" t="s">
        <v>51</v>
      </c>
      <c r="K70" s="5" t="s">
        <v>51</v>
      </c>
      <c r="L70" s="5" t="s">
        <v>51</v>
      </c>
      <c r="M70" s="5" t="s">
        <v>51</v>
      </c>
      <c r="N70" s="1" t="s">
        <v>51</v>
      </c>
    </row>
    <row r="71" spans="1:14" ht="30" customHeight="1" x14ac:dyDescent="0.3">
      <c r="A71" s="5" t="s">
        <v>472</v>
      </c>
      <c r="B71" s="5" t="s">
        <v>470</v>
      </c>
      <c r="C71" s="5" t="s">
        <v>300</v>
      </c>
      <c r="D71" s="5" t="s">
        <v>65</v>
      </c>
      <c r="E71" s="10">
        <f>일위대가!F531</f>
        <v>685</v>
      </c>
      <c r="F71" s="10">
        <f>일위대가!H531</f>
        <v>2271</v>
      </c>
      <c r="G71" s="10">
        <f>일위대가!J531</f>
        <v>0</v>
      </c>
      <c r="H71" s="10">
        <f t="shared" si="2"/>
        <v>2956</v>
      </c>
      <c r="I71" s="5" t="s">
        <v>471</v>
      </c>
      <c r="J71" s="5" t="s">
        <v>51</v>
      </c>
      <c r="K71" s="5" t="s">
        <v>51</v>
      </c>
      <c r="L71" s="5" t="s">
        <v>51</v>
      </c>
      <c r="M71" s="5" t="s">
        <v>51</v>
      </c>
      <c r="N71" s="1" t="s">
        <v>51</v>
      </c>
    </row>
    <row r="72" spans="1:14" ht="30" customHeight="1" x14ac:dyDescent="0.3">
      <c r="A72" s="5" t="s">
        <v>480</v>
      </c>
      <c r="B72" s="5" t="s">
        <v>477</v>
      </c>
      <c r="C72" s="5" t="s">
        <v>478</v>
      </c>
      <c r="D72" s="5" t="s">
        <v>58</v>
      </c>
      <c r="E72" s="10">
        <f>일위대가!F537</f>
        <v>960</v>
      </c>
      <c r="F72" s="10">
        <f>일위대가!H537</f>
        <v>32020</v>
      </c>
      <c r="G72" s="10">
        <f>일위대가!J537</f>
        <v>0</v>
      </c>
      <c r="H72" s="10">
        <f t="shared" si="2"/>
        <v>32980</v>
      </c>
      <c r="I72" s="5" t="s">
        <v>479</v>
      </c>
      <c r="J72" s="5" t="s">
        <v>51</v>
      </c>
      <c r="K72" s="5" t="s">
        <v>51</v>
      </c>
      <c r="L72" s="5" t="s">
        <v>51</v>
      </c>
      <c r="M72" s="5" t="s">
        <v>51</v>
      </c>
      <c r="N72" s="1" t="s">
        <v>51</v>
      </c>
    </row>
    <row r="73" spans="1:14" ht="30" customHeight="1" x14ac:dyDescent="0.3">
      <c r="A73" s="5" t="s">
        <v>489</v>
      </c>
      <c r="B73" s="5" t="s">
        <v>63</v>
      </c>
      <c r="C73" s="5" t="s">
        <v>487</v>
      </c>
      <c r="D73" s="5" t="s">
        <v>65</v>
      </c>
      <c r="E73" s="10">
        <f>일위대가!F547</f>
        <v>557</v>
      </c>
      <c r="F73" s="10">
        <f>일위대가!H547</f>
        <v>4898</v>
      </c>
      <c r="G73" s="10">
        <f>일위대가!J547</f>
        <v>0</v>
      </c>
      <c r="H73" s="10">
        <f t="shared" si="2"/>
        <v>5455</v>
      </c>
      <c r="I73" s="5" t="s">
        <v>488</v>
      </c>
      <c r="J73" s="5" t="s">
        <v>51</v>
      </c>
      <c r="K73" s="5" t="s">
        <v>51</v>
      </c>
      <c r="L73" s="5" t="s">
        <v>51</v>
      </c>
      <c r="M73" s="5" t="s">
        <v>51</v>
      </c>
      <c r="N73" s="1" t="s">
        <v>51</v>
      </c>
    </row>
    <row r="74" spans="1:14" ht="30" customHeight="1" x14ac:dyDescent="0.3">
      <c r="A74" s="5" t="s">
        <v>493</v>
      </c>
      <c r="B74" s="5" t="s">
        <v>490</v>
      </c>
      <c r="C74" s="5" t="s">
        <v>491</v>
      </c>
      <c r="D74" s="5" t="s">
        <v>58</v>
      </c>
      <c r="E74" s="10">
        <f>일위대가!F553</f>
        <v>751</v>
      </c>
      <c r="F74" s="10">
        <f>일위대가!H553</f>
        <v>25041</v>
      </c>
      <c r="G74" s="10">
        <f>일위대가!J553</f>
        <v>0</v>
      </c>
      <c r="H74" s="10">
        <f t="shared" si="2"/>
        <v>25792</v>
      </c>
      <c r="I74" s="5" t="s">
        <v>492</v>
      </c>
      <c r="J74" s="5" t="s">
        <v>51</v>
      </c>
      <c r="K74" s="5" t="s">
        <v>51</v>
      </c>
      <c r="L74" s="5" t="s">
        <v>51</v>
      </c>
      <c r="M74" s="5" t="s">
        <v>51</v>
      </c>
      <c r="N74" s="1" t="s">
        <v>51</v>
      </c>
    </row>
    <row r="75" spans="1:14" ht="30" customHeight="1" x14ac:dyDescent="0.3">
      <c r="A75" s="5" t="s">
        <v>498</v>
      </c>
      <c r="B75" s="5" t="s">
        <v>494</v>
      </c>
      <c r="C75" s="5" t="s">
        <v>495</v>
      </c>
      <c r="D75" s="5" t="s">
        <v>496</v>
      </c>
      <c r="E75" s="10">
        <f>일위대가!F559</f>
        <v>13793</v>
      </c>
      <c r="F75" s="10">
        <f>일위대가!H559</f>
        <v>459775</v>
      </c>
      <c r="G75" s="10">
        <f>일위대가!J559</f>
        <v>0</v>
      </c>
      <c r="H75" s="10">
        <f t="shared" si="2"/>
        <v>473568</v>
      </c>
      <c r="I75" s="5" t="s">
        <v>497</v>
      </c>
      <c r="J75" s="5" t="s">
        <v>51</v>
      </c>
      <c r="K75" s="5" t="s">
        <v>51</v>
      </c>
      <c r="L75" s="5" t="s">
        <v>51</v>
      </c>
      <c r="M75" s="5" t="s">
        <v>51</v>
      </c>
      <c r="N75" s="1" t="s">
        <v>51</v>
      </c>
    </row>
    <row r="76" spans="1:14" ht="30" customHeight="1" x14ac:dyDescent="0.3">
      <c r="A76" s="5" t="s">
        <v>501</v>
      </c>
      <c r="B76" s="5" t="s">
        <v>63</v>
      </c>
      <c r="C76" s="5" t="s">
        <v>499</v>
      </c>
      <c r="D76" s="5" t="s">
        <v>65</v>
      </c>
      <c r="E76" s="10">
        <f>일위대가!F569</f>
        <v>806</v>
      </c>
      <c r="F76" s="10">
        <f>일위대가!H569</f>
        <v>6001</v>
      </c>
      <c r="G76" s="10">
        <f>일위대가!J569</f>
        <v>0</v>
      </c>
      <c r="H76" s="10">
        <f t="shared" si="2"/>
        <v>6807</v>
      </c>
      <c r="I76" s="5" t="s">
        <v>500</v>
      </c>
      <c r="J76" s="5" t="s">
        <v>51</v>
      </c>
      <c r="K76" s="5" t="s">
        <v>51</v>
      </c>
      <c r="L76" s="5" t="s">
        <v>51</v>
      </c>
      <c r="M76" s="5" t="s">
        <v>51</v>
      </c>
      <c r="N76" s="1" t="s">
        <v>51</v>
      </c>
    </row>
    <row r="77" spans="1:14" ht="30" customHeight="1" x14ac:dyDescent="0.3">
      <c r="A77" s="5" t="s">
        <v>504</v>
      </c>
      <c r="B77" s="5" t="s">
        <v>106</v>
      </c>
      <c r="C77" s="5" t="s">
        <v>502</v>
      </c>
      <c r="D77" s="5" t="s">
        <v>65</v>
      </c>
      <c r="E77" s="10">
        <f>일위대가!F577</f>
        <v>3175</v>
      </c>
      <c r="F77" s="10">
        <f>일위대가!H577</f>
        <v>6995</v>
      </c>
      <c r="G77" s="10">
        <f>일위대가!J577</f>
        <v>0</v>
      </c>
      <c r="H77" s="10">
        <f t="shared" si="2"/>
        <v>10170</v>
      </c>
      <c r="I77" s="5" t="s">
        <v>503</v>
      </c>
      <c r="J77" s="5" t="s">
        <v>51</v>
      </c>
      <c r="K77" s="5" t="s">
        <v>51</v>
      </c>
      <c r="L77" s="5" t="s">
        <v>51</v>
      </c>
      <c r="M77" s="5" t="s">
        <v>51</v>
      </c>
      <c r="N77" s="1" t="s">
        <v>51</v>
      </c>
    </row>
    <row r="78" spans="1:14" ht="30" customHeight="1" x14ac:dyDescent="0.3">
      <c r="A78" s="5" t="s">
        <v>507</v>
      </c>
      <c r="B78" s="5" t="s">
        <v>69</v>
      </c>
      <c r="C78" s="5" t="s">
        <v>505</v>
      </c>
      <c r="D78" s="5" t="s">
        <v>65</v>
      </c>
      <c r="E78" s="10">
        <f>일위대가!F585</f>
        <v>1228</v>
      </c>
      <c r="F78" s="10">
        <f>일위대가!H585</f>
        <v>2463</v>
      </c>
      <c r="G78" s="10">
        <f>일위대가!J585</f>
        <v>0</v>
      </c>
      <c r="H78" s="10">
        <f t="shared" si="2"/>
        <v>3691</v>
      </c>
      <c r="I78" s="5" t="s">
        <v>506</v>
      </c>
      <c r="J78" s="5" t="s">
        <v>51</v>
      </c>
      <c r="K78" s="5" t="s">
        <v>51</v>
      </c>
      <c r="L78" s="5" t="s">
        <v>51</v>
      </c>
      <c r="M78" s="5" t="s">
        <v>51</v>
      </c>
      <c r="N78" s="1" t="s">
        <v>51</v>
      </c>
    </row>
    <row r="79" spans="1:14" ht="30" customHeight="1" x14ac:dyDescent="0.3">
      <c r="A79" s="5" t="s">
        <v>521</v>
      </c>
      <c r="B79" s="5" t="s">
        <v>357</v>
      </c>
      <c r="C79" s="5" t="s">
        <v>519</v>
      </c>
      <c r="D79" s="5" t="s">
        <v>65</v>
      </c>
      <c r="E79" s="10">
        <f>일위대가!F594</f>
        <v>2240</v>
      </c>
      <c r="F79" s="10">
        <f>일위대가!H594</f>
        <v>14532</v>
      </c>
      <c r="G79" s="10">
        <f>일위대가!J594</f>
        <v>0</v>
      </c>
      <c r="H79" s="10">
        <f t="shared" si="2"/>
        <v>16772</v>
      </c>
      <c r="I79" s="5" t="s">
        <v>520</v>
      </c>
      <c r="J79" s="5" t="s">
        <v>51</v>
      </c>
      <c r="K79" s="5" t="s">
        <v>51</v>
      </c>
      <c r="L79" s="5" t="s">
        <v>51</v>
      </c>
      <c r="M79" s="5" t="s">
        <v>51</v>
      </c>
      <c r="N79" s="1" t="s">
        <v>51</v>
      </c>
    </row>
    <row r="80" spans="1:14" ht="30" customHeight="1" x14ac:dyDescent="0.3">
      <c r="A80" s="5" t="s">
        <v>525</v>
      </c>
      <c r="B80" s="5" t="s">
        <v>357</v>
      </c>
      <c r="C80" s="5" t="s">
        <v>523</v>
      </c>
      <c r="D80" s="5" t="s">
        <v>65</v>
      </c>
      <c r="E80" s="10">
        <f>일위대가!F603</f>
        <v>4295</v>
      </c>
      <c r="F80" s="10">
        <f>일위대가!H603</f>
        <v>25616</v>
      </c>
      <c r="G80" s="10">
        <f>일위대가!J603</f>
        <v>0</v>
      </c>
      <c r="H80" s="10">
        <f t="shared" si="2"/>
        <v>29911</v>
      </c>
      <c r="I80" s="5" t="s">
        <v>524</v>
      </c>
      <c r="J80" s="5" t="s">
        <v>51</v>
      </c>
      <c r="K80" s="5" t="s">
        <v>51</v>
      </c>
      <c r="L80" s="5" t="s">
        <v>51</v>
      </c>
      <c r="M80" s="5" t="s">
        <v>51</v>
      </c>
      <c r="N80" s="1" t="s">
        <v>51</v>
      </c>
    </row>
    <row r="81" spans="1:14" ht="30" customHeight="1" x14ac:dyDescent="0.3">
      <c r="A81" s="5" t="s">
        <v>533</v>
      </c>
      <c r="B81" s="5" t="s">
        <v>106</v>
      </c>
      <c r="C81" s="5" t="s">
        <v>531</v>
      </c>
      <c r="D81" s="5" t="s">
        <v>65</v>
      </c>
      <c r="E81" s="10">
        <f>일위대가!F611</f>
        <v>3881</v>
      </c>
      <c r="F81" s="10">
        <f>일위대가!H611</f>
        <v>8820</v>
      </c>
      <c r="G81" s="10">
        <f>일위대가!J611</f>
        <v>0</v>
      </c>
      <c r="H81" s="10">
        <f t="shared" si="2"/>
        <v>12701</v>
      </c>
      <c r="I81" s="5" t="s">
        <v>532</v>
      </c>
      <c r="J81" s="5" t="s">
        <v>51</v>
      </c>
      <c r="K81" s="5" t="s">
        <v>51</v>
      </c>
      <c r="L81" s="5" t="s">
        <v>51</v>
      </c>
      <c r="M81" s="5" t="s">
        <v>51</v>
      </c>
      <c r="N81" s="1" t="s">
        <v>51</v>
      </c>
    </row>
    <row r="82" spans="1:14" ht="30" customHeight="1" x14ac:dyDescent="0.3">
      <c r="A82" s="5" t="s">
        <v>540</v>
      </c>
      <c r="B82" s="5" t="s">
        <v>69</v>
      </c>
      <c r="C82" s="5" t="s">
        <v>538</v>
      </c>
      <c r="D82" s="5" t="s">
        <v>65</v>
      </c>
      <c r="E82" s="10">
        <f>일위대가!F619</f>
        <v>1105</v>
      </c>
      <c r="F82" s="10">
        <f>일위대가!H619</f>
        <v>2463</v>
      </c>
      <c r="G82" s="10">
        <f>일위대가!J619</f>
        <v>0</v>
      </c>
      <c r="H82" s="10">
        <f t="shared" si="2"/>
        <v>3568</v>
      </c>
      <c r="I82" s="5" t="s">
        <v>539</v>
      </c>
      <c r="J82" s="5" t="s">
        <v>51</v>
      </c>
      <c r="K82" s="5" t="s">
        <v>51</v>
      </c>
      <c r="L82" s="5" t="s">
        <v>51</v>
      </c>
      <c r="M82" s="5" t="s">
        <v>51</v>
      </c>
      <c r="N82" s="1" t="s">
        <v>51</v>
      </c>
    </row>
    <row r="83" spans="1:14" ht="30" customHeight="1" x14ac:dyDescent="0.3">
      <c r="A83" s="5" t="s">
        <v>554</v>
      </c>
      <c r="B83" s="5" t="s">
        <v>551</v>
      </c>
      <c r="C83" s="5" t="s">
        <v>552</v>
      </c>
      <c r="D83" s="5" t="s">
        <v>65</v>
      </c>
      <c r="E83" s="10">
        <f>일위대가!F625</f>
        <v>21528</v>
      </c>
      <c r="F83" s="10">
        <f>일위대가!H625</f>
        <v>131364</v>
      </c>
      <c r="G83" s="10">
        <f>일위대가!J625</f>
        <v>0</v>
      </c>
      <c r="H83" s="10">
        <f t="shared" si="2"/>
        <v>152892</v>
      </c>
      <c r="I83" s="5" t="s">
        <v>553</v>
      </c>
      <c r="J83" s="5" t="s">
        <v>51</v>
      </c>
      <c r="K83" s="5" t="s">
        <v>51</v>
      </c>
      <c r="L83" s="5" t="s">
        <v>51</v>
      </c>
      <c r="M83" s="5" t="s">
        <v>51</v>
      </c>
      <c r="N83" s="1" t="s">
        <v>51</v>
      </c>
    </row>
    <row r="84" spans="1:14" ht="30" customHeight="1" x14ac:dyDescent="0.3">
      <c r="A84" s="5" t="s">
        <v>559</v>
      </c>
      <c r="B84" s="5" t="s">
        <v>556</v>
      </c>
      <c r="C84" s="5" t="s">
        <v>557</v>
      </c>
      <c r="D84" s="5" t="s">
        <v>88</v>
      </c>
      <c r="E84" s="10">
        <f>일위대가!F633</f>
        <v>62833</v>
      </c>
      <c r="F84" s="10">
        <f>일위대가!H633</f>
        <v>8894</v>
      </c>
      <c r="G84" s="10">
        <f>일위대가!J633</f>
        <v>0</v>
      </c>
      <c r="H84" s="10">
        <f t="shared" si="2"/>
        <v>71727</v>
      </c>
      <c r="I84" s="5" t="s">
        <v>558</v>
      </c>
      <c r="J84" s="5" t="s">
        <v>51</v>
      </c>
      <c r="K84" s="5" t="s">
        <v>51</v>
      </c>
      <c r="L84" s="5" t="s">
        <v>51</v>
      </c>
      <c r="M84" s="5" t="s">
        <v>51</v>
      </c>
      <c r="N84" s="1" t="s">
        <v>51</v>
      </c>
    </row>
    <row r="85" spans="1:14" ht="30" customHeight="1" x14ac:dyDescent="0.3">
      <c r="A85" s="5" t="s">
        <v>575</v>
      </c>
      <c r="B85" s="5" t="s">
        <v>551</v>
      </c>
      <c r="C85" s="5" t="s">
        <v>573</v>
      </c>
      <c r="D85" s="5" t="s">
        <v>65</v>
      </c>
      <c r="E85" s="10">
        <f>일위대가!F639</f>
        <v>14982</v>
      </c>
      <c r="F85" s="10">
        <f>일위대가!H639</f>
        <v>56650</v>
      </c>
      <c r="G85" s="10">
        <f>일위대가!J639</f>
        <v>0</v>
      </c>
      <c r="H85" s="10">
        <f t="shared" si="2"/>
        <v>71632</v>
      </c>
      <c r="I85" s="5" t="s">
        <v>574</v>
      </c>
      <c r="J85" s="5" t="s">
        <v>51</v>
      </c>
      <c r="K85" s="5" t="s">
        <v>51</v>
      </c>
      <c r="L85" s="5" t="s">
        <v>51</v>
      </c>
      <c r="M85" s="5" t="s">
        <v>51</v>
      </c>
      <c r="N85" s="1" t="s">
        <v>51</v>
      </c>
    </row>
    <row r="86" spans="1:14" ht="30" customHeight="1" x14ac:dyDescent="0.3">
      <c r="A86" s="5" t="s">
        <v>580</v>
      </c>
      <c r="B86" s="5" t="s">
        <v>577</v>
      </c>
      <c r="C86" s="5" t="s">
        <v>578</v>
      </c>
      <c r="D86" s="5" t="s">
        <v>88</v>
      </c>
      <c r="E86" s="10">
        <f>일위대가!F651</f>
        <v>22779</v>
      </c>
      <c r="F86" s="10">
        <f>일위대가!H651</f>
        <v>19704</v>
      </c>
      <c r="G86" s="10">
        <f>일위대가!J651</f>
        <v>0</v>
      </c>
      <c r="H86" s="10">
        <f t="shared" si="2"/>
        <v>42483</v>
      </c>
      <c r="I86" s="5" t="s">
        <v>579</v>
      </c>
      <c r="J86" s="5" t="s">
        <v>51</v>
      </c>
      <c r="K86" s="5" t="s">
        <v>51</v>
      </c>
      <c r="L86" s="5" t="s">
        <v>51</v>
      </c>
      <c r="M86" s="5" t="s">
        <v>51</v>
      </c>
      <c r="N86" s="1" t="s">
        <v>51</v>
      </c>
    </row>
    <row r="87" spans="1:14" ht="30" customHeight="1" x14ac:dyDescent="0.3">
      <c r="A87" s="5" t="s">
        <v>584</v>
      </c>
      <c r="B87" s="5" t="s">
        <v>69</v>
      </c>
      <c r="C87" s="5" t="s">
        <v>582</v>
      </c>
      <c r="D87" s="5" t="s">
        <v>65</v>
      </c>
      <c r="E87" s="10">
        <f>일위대가!F659</f>
        <v>18242</v>
      </c>
      <c r="F87" s="10">
        <f>일위대가!H659</f>
        <v>3010</v>
      </c>
      <c r="G87" s="10">
        <f>일위대가!J659</f>
        <v>0</v>
      </c>
      <c r="H87" s="10">
        <f t="shared" si="2"/>
        <v>21252</v>
      </c>
      <c r="I87" s="5" t="s">
        <v>583</v>
      </c>
      <c r="J87" s="5" t="s">
        <v>51</v>
      </c>
      <c r="K87" s="5" t="s">
        <v>51</v>
      </c>
      <c r="L87" s="5" t="s">
        <v>51</v>
      </c>
      <c r="M87" s="5" t="s">
        <v>51</v>
      </c>
      <c r="N87" s="1" t="s">
        <v>51</v>
      </c>
    </row>
    <row r="88" spans="1:14" ht="30" customHeight="1" x14ac:dyDescent="0.3">
      <c r="A88" s="5" t="s">
        <v>816</v>
      </c>
      <c r="B88" s="5" t="s">
        <v>813</v>
      </c>
      <c r="C88" s="5" t="s">
        <v>814</v>
      </c>
      <c r="D88" s="5" t="s">
        <v>124</v>
      </c>
      <c r="E88" s="10">
        <f>일위대가!F663</f>
        <v>318</v>
      </c>
      <c r="F88" s="10">
        <f>일위대가!H663</f>
        <v>7715</v>
      </c>
      <c r="G88" s="10">
        <f>일위대가!J663</f>
        <v>267</v>
      </c>
      <c r="H88" s="10">
        <f t="shared" si="2"/>
        <v>8300</v>
      </c>
      <c r="I88" s="5" t="s">
        <v>815</v>
      </c>
      <c r="J88" s="5" t="s">
        <v>51</v>
      </c>
      <c r="K88" s="5" t="s">
        <v>51</v>
      </c>
      <c r="L88" s="5" t="s">
        <v>51</v>
      </c>
      <c r="M88" s="5" t="s">
        <v>51</v>
      </c>
      <c r="N88" s="1" t="s">
        <v>51</v>
      </c>
    </row>
    <row r="89" spans="1:14" ht="30" customHeight="1" x14ac:dyDescent="0.3">
      <c r="A89" s="5" t="s">
        <v>821</v>
      </c>
      <c r="B89" s="5" t="s">
        <v>818</v>
      </c>
      <c r="C89" s="5" t="s">
        <v>819</v>
      </c>
      <c r="D89" s="5" t="s">
        <v>124</v>
      </c>
      <c r="E89" s="10">
        <f>일위대가!F667</f>
        <v>0</v>
      </c>
      <c r="F89" s="10">
        <f>일위대가!H667</f>
        <v>17206</v>
      </c>
      <c r="G89" s="10">
        <f>일위대가!J667</f>
        <v>0</v>
      </c>
      <c r="H89" s="10">
        <f t="shared" si="2"/>
        <v>17206</v>
      </c>
      <c r="I89" s="5" t="s">
        <v>820</v>
      </c>
      <c r="J89" s="5" t="s">
        <v>51</v>
      </c>
      <c r="K89" s="5" t="s">
        <v>51</v>
      </c>
      <c r="L89" s="5" t="s">
        <v>51</v>
      </c>
      <c r="M89" s="5" t="s">
        <v>51</v>
      </c>
      <c r="N89" s="1" t="s">
        <v>51</v>
      </c>
    </row>
    <row r="90" spans="1:14" ht="30" customHeight="1" x14ac:dyDescent="0.3">
      <c r="A90" s="5" t="s">
        <v>826</v>
      </c>
      <c r="B90" s="5" t="s">
        <v>823</v>
      </c>
      <c r="C90" s="5" t="s">
        <v>824</v>
      </c>
      <c r="D90" s="5" t="s">
        <v>124</v>
      </c>
      <c r="E90" s="10">
        <f>일위대가!F671</f>
        <v>0</v>
      </c>
      <c r="F90" s="10">
        <f>일위대가!H671</f>
        <v>34413</v>
      </c>
      <c r="G90" s="10">
        <f>일위대가!J671</f>
        <v>0</v>
      </c>
      <c r="H90" s="10">
        <f t="shared" si="2"/>
        <v>34413</v>
      </c>
      <c r="I90" s="5" t="s">
        <v>825</v>
      </c>
      <c r="J90" s="5" t="s">
        <v>51</v>
      </c>
      <c r="K90" s="5" t="s">
        <v>51</v>
      </c>
      <c r="L90" s="5" t="s">
        <v>51</v>
      </c>
      <c r="M90" s="5" t="s">
        <v>51</v>
      </c>
      <c r="N90" s="1" t="s">
        <v>51</v>
      </c>
    </row>
    <row r="91" spans="1:14" ht="30" customHeight="1" x14ac:dyDescent="0.3">
      <c r="A91" s="5" t="s">
        <v>831</v>
      </c>
      <c r="B91" s="5" t="s">
        <v>828</v>
      </c>
      <c r="C91" s="5" t="s">
        <v>829</v>
      </c>
      <c r="D91" s="5" t="s">
        <v>124</v>
      </c>
      <c r="E91" s="10">
        <f>일위대가!F677</f>
        <v>35685</v>
      </c>
      <c r="F91" s="10">
        <f>일위대가!H677</f>
        <v>189274</v>
      </c>
      <c r="G91" s="10">
        <f>일위대가!J677</f>
        <v>0</v>
      </c>
      <c r="H91" s="10">
        <f t="shared" si="2"/>
        <v>224959</v>
      </c>
      <c r="I91" s="5" t="s">
        <v>830</v>
      </c>
      <c r="J91" s="5" t="s">
        <v>51</v>
      </c>
      <c r="K91" s="5" t="s">
        <v>51</v>
      </c>
      <c r="L91" s="5" t="s">
        <v>51</v>
      </c>
      <c r="M91" s="5" t="s">
        <v>51</v>
      </c>
      <c r="N91" s="1" t="s">
        <v>51</v>
      </c>
    </row>
    <row r="92" spans="1:14" ht="30" customHeight="1" x14ac:dyDescent="0.3">
      <c r="A92" s="5" t="s">
        <v>1490</v>
      </c>
      <c r="B92" s="5" t="s">
        <v>1491</v>
      </c>
      <c r="C92" s="5" t="s">
        <v>1492</v>
      </c>
      <c r="D92" s="5" t="s">
        <v>1493</v>
      </c>
      <c r="E92" s="10">
        <f>일위대가!F684</f>
        <v>22586</v>
      </c>
      <c r="F92" s="10">
        <f>일위대가!H684</f>
        <v>59020</v>
      </c>
      <c r="G92" s="10">
        <f>일위대가!J684</f>
        <v>18961</v>
      </c>
      <c r="H92" s="10">
        <f t="shared" si="2"/>
        <v>100567</v>
      </c>
      <c r="I92" s="5" t="s">
        <v>1494</v>
      </c>
      <c r="J92" s="5" t="s">
        <v>51</v>
      </c>
      <c r="K92" s="5" t="s">
        <v>1495</v>
      </c>
      <c r="L92" s="5" t="s">
        <v>51</v>
      </c>
      <c r="M92" s="5" t="s">
        <v>51</v>
      </c>
      <c r="N92" s="1" t="s">
        <v>61</v>
      </c>
    </row>
    <row r="93" spans="1:14" ht="30" customHeight="1" x14ac:dyDescent="0.3">
      <c r="A93" s="5" t="s">
        <v>1515</v>
      </c>
      <c r="B93" s="5" t="s">
        <v>1516</v>
      </c>
      <c r="C93" s="5" t="s">
        <v>1517</v>
      </c>
      <c r="D93" s="5" t="s">
        <v>1493</v>
      </c>
      <c r="E93" s="10">
        <f>일위대가!F691</f>
        <v>35019</v>
      </c>
      <c r="F93" s="10">
        <f>일위대가!H691</f>
        <v>59020</v>
      </c>
      <c r="G93" s="10">
        <f>일위대가!J691</f>
        <v>14383</v>
      </c>
      <c r="H93" s="10">
        <f t="shared" si="2"/>
        <v>108422</v>
      </c>
      <c r="I93" s="5" t="s">
        <v>1518</v>
      </c>
      <c r="J93" s="5" t="s">
        <v>51</v>
      </c>
      <c r="K93" s="5" t="s">
        <v>1495</v>
      </c>
      <c r="L93" s="5" t="s">
        <v>51</v>
      </c>
      <c r="M93" s="5" t="s">
        <v>51</v>
      </c>
      <c r="N93" s="1" t="s">
        <v>61</v>
      </c>
    </row>
    <row r="94" spans="1:14" ht="30" customHeight="1" x14ac:dyDescent="0.3">
      <c r="A94" s="5" t="s">
        <v>1527</v>
      </c>
      <c r="B94" s="5" t="s">
        <v>1528</v>
      </c>
      <c r="C94" s="5" t="s">
        <v>1529</v>
      </c>
      <c r="D94" s="5" t="s">
        <v>1493</v>
      </c>
      <c r="E94" s="10">
        <f>일위대가!F698</f>
        <v>1275</v>
      </c>
      <c r="F94" s="10">
        <f>일위대가!H698</f>
        <v>36248</v>
      </c>
      <c r="G94" s="10">
        <f>일위대가!J698</f>
        <v>412</v>
      </c>
      <c r="H94" s="10">
        <f t="shared" si="2"/>
        <v>37935</v>
      </c>
      <c r="I94" s="5" t="s">
        <v>1530</v>
      </c>
      <c r="J94" s="5" t="s">
        <v>51</v>
      </c>
      <c r="K94" s="5" t="s">
        <v>1495</v>
      </c>
      <c r="L94" s="5" t="s">
        <v>51</v>
      </c>
      <c r="M94" s="5" t="s">
        <v>51</v>
      </c>
      <c r="N94" s="1" t="s">
        <v>61</v>
      </c>
    </row>
    <row r="95" spans="1:14" ht="30" customHeight="1" x14ac:dyDescent="0.3">
      <c r="A95" s="5" t="s">
        <v>1428</v>
      </c>
      <c r="B95" s="5" t="s">
        <v>1425</v>
      </c>
      <c r="C95" s="5" t="s">
        <v>1426</v>
      </c>
      <c r="D95" s="5" t="s">
        <v>88</v>
      </c>
      <c r="E95" s="10">
        <f>일위대가!F707</f>
        <v>94073</v>
      </c>
      <c r="F95" s="10">
        <f>일위대가!H707</f>
        <v>373604</v>
      </c>
      <c r="G95" s="10">
        <f>일위대가!J707</f>
        <v>0</v>
      </c>
      <c r="H95" s="10">
        <f t="shared" si="2"/>
        <v>467677</v>
      </c>
      <c r="I95" s="5" t="s">
        <v>1427</v>
      </c>
      <c r="J95" s="5" t="s">
        <v>51</v>
      </c>
      <c r="K95" s="5" t="s">
        <v>51</v>
      </c>
      <c r="L95" s="5" t="s">
        <v>51</v>
      </c>
      <c r="M95" s="5" t="s">
        <v>51</v>
      </c>
      <c r="N95" s="1" t="s">
        <v>51</v>
      </c>
    </row>
  </sheetData>
  <mergeCells count="2">
    <mergeCell ref="A1:M1"/>
    <mergeCell ref="A2:M2"/>
  </mergeCells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0FBFA-407A-4D21-85E4-EB0AD847B11B}">
  <sheetPr>
    <pageSetUpPr fitToPage="1"/>
  </sheetPr>
  <dimension ref="A1:AY707"/>
  <sheetViews>
    <sheetView view="pageBreakPreview" zoomScale="85" zoomScaleNormal="100" zoomScaleSheetLayoutView="85" workbookViewId="0">
      <selection activeCell="B46" sqref="B4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33" t="s">
        <v>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51" ht="30" customHeight="1" x14ac:dyDescent="0.3">
      <c r="A2" s="34" t="s">
        <v>2</v>
      </c>
      <c r="B2" s="34" t="s">
        <v>3</v>
      </c>
      <c r="C2" s="34" t="s">
        <v>4</v>
      </c>
      <c r="D2" s="34" t="s">
        <v>5</v>
      </c>
      <c r="E2" s="34" t="s">
        <v>6</v>
      </c>
      <c r="F2" s="34"/>
      <c r="G2" s="34" t="s">
        <v>9</v>
      </c>
      <c r="H2" s="34"/>
      <c r="I2" s="34" t="s">
        <v>10</v>
      </c>
      <c r="J2" s="34"/>
      <c r="K2" s="34" t="s">
        <v>11</v>
      </c>
      <c r="L2" s="34"/>
      <c r="M2" s="34" t="s">
        <v>12</v>
      </c>
      <c r="N2" s="33" t="s">
        <v>731</v>
      </c>
      <c r="O2" s="33" t="s">
        <v>20</v>
      </c>
      <c r="P2" s="33" t="s">
        <v>22</v>
      </c>
      <c r="Q2" s="33" t="s">
        <v>23</v>
      </c>
      <c r="R2" s="33" t="s">
        <v>24</v>
      </c>
      <c r="S2" s="33" t="s">
        <v>25</v>
      </c>
      <c r="T2" s="33" t="s">
        <v>26</v>
      </c>
      <c r="U2" s="33" t="s">
        <v>27</v>
      </c>
      <c r="V2" s="33" t="s">
        <v>28</v>
      </c>
      <c r="W2" s="33" t="s">
        <v>29</v>
      </c>
      <c r="X2" s="33" t="s">
        <v>30</v>
      </c>
      <c r="Y2" s="33" t="s">
        <v>31</v>
      </c>
      <c r="Z2" s="33" t="s">
        <v>32</v>
      </c>
      <c r="AA2" s="33" t="s">
        <v>33</v>
      </c>
      <c r="AB2" s="33" t="s">
        <v>34</v>
      </c>
      <c r="AC2" s="33" t="s">
        <v>35</v>
      </c>
      <c r="AD2" s="33" t="s">
        <v>36</v>
      </c>
      <c r="AE2" s="33" t="s">
        <v>37</v>
      </c>
      <c r="AF2" s="33" t="s">
        <v>38</v>
      </c>
      <c r="AG2" s="33" t="s">
        <v>39</v>
      </c>
      <c r="AH2" s="33" t="s">
        <v>40</v>
      </c>
      <c r="AI2" s="33" t="s">
        <v>41</v>
      </c>
      <c r="AJ2" s="33" t="s">
        <v>42</v>
      </c>
      <c r="AK2" s="33" t="s">
        <v>43</v>
      </c>
      <c r="AL2" s="33" t="s">
        <v>44</v>
      </c>
      <c r="AM2" s="33" t="s">
        <v>45</v>
      </c>
      <c r="AN2" s="33" t="s">
        <v>46</v>
      </c>
      <c r="AO2" s="33" t="s">
        <v>47</v>
      </c>
      <c r="AP2" s="33" t="s">
        <v>732</v>
      </c>
      <c r="AQ2" s="33" t="s">
        <v>733</v>
      </c>
      <c r="AR2" s="33" t="s">
        <v>734</v>
      </c>
      <c r="AS2" s="33" t="s">
        <v>735</v>
      </c>
      <c r="AT2" s="33" t="s">
        <v>736</v>
      </c>
      <c r="AU2" s="33" t="s">
        <v>737</v>
      </c>
      <c r="AV2" s="33" t="s">
        <v>48</v>
      </c>
      <c r="AW2" s="33" t="s">
        <v>738</v>
      </c>
      <c r="AX2" s="1" t="s">
        <v>730</v>
      </c>
      <c r="AY2" s="1" t="s">
        <v>21</v>
      </c>
    </row>
    <row r="3" spans="1:51" ht="30" customHeight="1" x14ac:dyDescent="0.3">
      <c r="A3" s="34"/>
      <c r="B3" s="34"/>
      <c r="C3" s="34"/>
      <c r="D3" s="34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34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</row>
    <row r="4" spans="1:51" ht="30" customHeight="1" x14ac:dyDescent="0.3">
      <c r="A4" s="37" t="s">
        <v>739</v>
      </c>
      <c r="B4" s="37"/>
      <c r="C4" s="37"/>
      <c r="D4" s="37"/>
      <c r="E4" s="38"/>
      <c r="F4" s="39"/>
      <c r="G4" s="38"/>
      <c r="H4" s="39"/>
      <c r="I4" s="38"/>
      <c r="J4" s="39"/>
      <c r="K4" s="38"/>
      <c r="L4" s="39"/>
      <c r="M4" s="37"/>
      <c r="N4" s="1" t="s">
        <v>67</v>
      </c>
    </row>
    <row r="5" spans="1:51" ht="30" customHeight="1" x14ac:dyDescent="0.3">
      <c r="A5" s="5" t="s">
        <v>740</v>
      </c>
      <c r="B5" s="5" t="s">
        <v>64</v>
      </c>
      <c r="C5" s="5" t="s">
        <v>65</v>
      </c>
      <c r="D5" s="6">
        <v>1</v>
      </c>
      <c r="E5" s="11">
        <f>단가대비표!O132</f>
        <v>1180</v>
      </c>
      <c r="F5" s="10">
        <f t="shared" ref="F5:F11" si="0">TRUNC(E5*D5,2)</f>
        <v>1180</v>
      </c>
      <c r="G5" s="11">
        <f>단가대비표!P132</f>
        <v>0</v>
      </c>
      <c r="H5" s="10">
        <f t="shared" ref="H5:H11" si="1">TRUNC(G5*D5,2)</f>
        <v>0</v>
      </c>
      <c r="I5" s="11">
        <f>단가대비표!V132</f>
        <v>0</v>
      </c>
      <c r="J5" s="10">
        <f t="shared" ref="J5:J11" si="2">TRUNC(I5*D5,2)</f>
        <v>0</v>
      </c>
      <c r="K5" s="11">
        <f t="shared" ref="K5:L11" si="3">TRUNC(E5+G5+I5,2)</f>
        <v>1180</v>
      </c>
      <c r="L5" s="10">
        <f t="shared" si="3"/>
        <v>1180</v>
      </c>
      <c r="M5" s="5" t="s">
        <v>51</v>
      </c>
      <c r="N5" s="1" t="s">
        <v>67</v>
      </c>
      <c r="O5" s="1" t="s">
        <v>741</v>
      </c>
      <c r="P5" s="1" t="s">
        <v>60</v>
      </c>
      <c r="Q5" s="1" t="s">
        <v>60</v>
      </c>
      <c r="R5" s="1" t="s">
        <v>61</v>
      </c>
      <c r="V5">
        <v>1</v>
      </c>
      <c r="W5">
        <v>2</v>
      </c>
      <c r="AV5" s="1" t="s">
        <v>51</v>
      </c>
      <c r="AW5" s="1" t="s">
        <v>742</v>
      </c>
      <c r="AX5" s="1" t="s">
        <v>51</v>
      </c>
      <c r="AY5" s="1" t="s">
        <v>51</v>
      </c>
    </row>
    <row r="6" spans="1:51" ht="30" customHeight="1" x14ac:dyDescent="0.3">
      <c r="A6" s="5" t="s">
        <v>740</v>
      </c>
      <c r="B6" s="5" t="s">
        <v>64</v>
      </c>
      <c r="C6" s="5" t="s">
        <v>65</v>
      </c>
      <c r="D6" s="6">
        <v>0.03</v>
      </c>
      <c r="E6" s="11">
        <f>단가대비표!O132</f>
        <v>1180</v>
      </c>
      <c r="F6" s="10">
        <f t="shared" si="0"/>
        <v>35.4</v>
      </c>
      <c r="G6" s="11">
        <f>단가대비표!P132</f>
        <v>0</v>
      </c>
      <c r="H6" s="10">
        <f t="shared" si="1"/>
        <v>0</v>
      </c>
      <c r="I6" s="11">
        <f>단가대비표!V132</f>
        <v>0</v>
      </c>
      <c r="J6" s="10">
        <f t="shared" si="2"/>
        <v>0</v>
      </c>
      <c r="K6" s="11">
        <f t="shared" si="3"/>
        <v>1180</v>
      </c>
      <c r="L6" s="10">
        <f t="shared" si="3"/>
        <v>35.4</v>
      </c>
      <c r="M6" s="5" t="s">
        <v>51</v>
      </c>
      <c r="N6" s="1" t="s">
        <v>67</v>
      </c>
      <c r="O6" s="1" t="s">
        <v>741</v>
      </c>
      <c r="P6" s="1" t="s">
        <v>60</v>
      </c>
      <c r="Q6" s="1" t="s">
        <v>60</v>
      </c>
      <c r="R6" s="1" t="s">
        <v>61</v>
      </c>
      <c r="AV6" s="1" t="s">
        <v>51</v>
      </c>
      <c r="AW6" s="1" t="s">
        <v>742</v>
      </c>
      <c r="AX6" s="1" t="s">
        <v>51</v>
      </c>
      <c r="AY6" s="1" t="s">
        <v>51</v>
      </c>
    </row>
    <row r="7" spans="1:51" ht="30" customHeight="1" x14ac:dyDescent="0.3">
      <c r="A7" s="5" t="s">
        <v>743</v>
      </c>
      <c r="B7" s="5" t="s">
        <v>744</v>
      </c>
      <c r="C7" s="5" t="s">
        <v>631</v>
      </c>
      <c r="D7" s="6">
        <v>1</v>
      </c>
      <c r="E7" s="11">
        <f>TRUNC(SUMIF(V5:V11, RIGHTB(O7, 1), F5:F11)*U7, 2)</f>
        <v>177</v>
      </c>
      <c r="F7" s="10">
        <f t="shared" si="0"/>
        <v>177</v>
      </c>
      <c r="G7" s="11">
        <v>0</v>
      </c>
      <c r="H7" s="10">
        <f t="shared" si="1"/>
        <v>0</v>
      </c>
      <c r="I7" s="11">
        <v>0</v>
      </c>
      <c r="J7" s="10">
        <f t="shared" si="2"/>
        <v>0</v>
      </c>
      <c r="K7" s="11">
        <f t="shared" si="3"/>
        <v>177</v>
      </c>
      <c r="L7" s="10">
        <f t="shared" si="3"/>
        <v>177</v>
      </c>
      <c r="M7" s="5" t="s">
        <v>51</v>
      </c>
      <c r="N7" s="1" t="s">
        <v>67</v>
      </c>
      <c r="O7" s="1" t="s">
        <v>657</v>
      </c>
      <c r="P7" s="1" t="s">
        <v>60</v>
      </c>
      <c r="Q7" s="1" t="s">
        <v>60</v>
      </c>
      <c r="R7" s="1" t="s">
        <v>60</v>
      </c>
      <c r="S7">
        <v>0</v>
      </c>
      <c r="T7">
        <v>0</v>
      </c>
      <c r="U7">
        <v>0.15</v>
      </c>
      <c r="AV7" s="1" t="s">
        <v>51</v>
      </c>
      <c r="AW7" s="1" t="s">
        <v>745</v>
      </c>
      <c r="AX7" s="1" t="s">
        <v>51</v>
      </c>
      <c r="AY7" s="1" t="s">
        <v>51</v>
      </c>
    </row>
    <row r="8" spans="1:51" ht="30" customHeight="1" x14ac:dyDescent="0.3">
      <c r="A8" s="5" t="s">
        <v>746</v>
      </c>
      <c r="B8" s="5" t="s">
        <v>747</v>
      </c>
      <c r="C8" s="5" t="s">
        <v>631</v>
      </c>
      <c r="D8" s="6">
        <v>1</v>
      </c>
      <c r="E8" s="11">
        <f>TRUNC(SUMIF(W5:W11, RIGHTB(O8, 1), F5:F11)*U8, 2)</f>
        <v>23.6</v>
      </c>
      <c r="F8" s="10">
        <f t="shared" si="0"/>
        <v>23.6</v>
      </c>
      <c r="G8" s="11">
        <v>0</v>
      </c>
      <c r="H8" s="10">
        <f t="shared" si="1"/>
        <v>0</v>
      </c>
      <c r="I8" s="11">
        <v>0</v>
      </c>
      <c r="J8" s="10">
        <f t="shared" si="2"/>
        <v>0</v>
      </c>
      <c r="K8" s="11">
        <f t="shared" si="3"/>
        <v>23.6</v>
      </c>
      <c r="L8" s="10">
        <f t="shared" si="3"/>
        <v>23.6</v>
      </c>
      <c r="M8" s="5" t="s">
        <v>51</v>
      </c>
      <c r="N8" s="1" t="s">
        <v>67</v>
      </c>
      <c r="O8" s="1" t="s">
        <v>748</v>
      </c>
      <c r="P8" s="1" t="s">
        <v>60</v>
      </c>
      <c r="Q8" s="1" t="s">
        <v>60</v>
      </c>
      <c r="R8" s="1" t="s">
        <v>60</v>
      </c>
      <c r="S8">
        <v>0</v>
      </c>
      <c r="T8">
        <v>0</v>
      </c>
      <c r="U8">
        <v>0.02</v>
      </c>
      <c r="AV8" s="1" t="s">
        <v>51</v>
      </c>
      <c r="AW8" s="1" t="s">
        <v>749</v>
      </c>
      <c r="AX8" s="1" t="s">
        <v>51</v>
      </c>
      <c r="AY8" s="1" t="s">
        <v>51</v>
      </c>
    </row>
    <row r="9" spans="1:51" ht="30" customHeight="1" x14ac:dyDescent="0.3">
      <c r="A9" s="5" t="s">
        <v>750</v>
      </c>
      <c r="B9" s="5" t="s">
        <v>751</v>
      </c>
      <c r="C9" s="5" t="s">
        <v>752</v>
      </c>
      <c r="D9" s="6">
        <f>공량산출근거서!K9</f>
        <v>2.1999999999999999E-2</v>
      </c>
      <c r="E9" s="11">
        <f>단가대비표!O162</f>
        <v>0</v>
      </c>
      <c r="F9" s="10">
        <f t="shared" si="0"/>
        <v>0</v>
      </c>
      <c r="G9" s="11">
        <f>단가대비표!P162</f>
        <v>172068</v>
      </c>
      <c r="H9" s="10">
        <f t="shared" si="1"/>
        <v>3785.49</v>
      </c>
      <c r="I9" s="11">
        <f>단가대비표!V162</f>
        <v>0</v>
      </c>
      <c r="J9" s="10">
        <f t="shared" si="2"/>
        <v>0</v>
      </c>
      <c r="K9" s="11">
        <f t="shared" si="3"/>
        <v>172068</v>
      </c>
      <c r="L9" s="10">
        <f t="shared" si="3"/>
        <v>3785.49</v>
      </c>
      <c r="M9" s="5" t="s">
        <v>51</v>
      </c>
      <c r="N9" s="1" t="s">
        <v>67</v>
      </c>
      <c r="O9" s="1" t="s">
        <v>753</v>
      </c>
      <c r="P9" s="1" t="s">
        <v>60</v>
      </c>
      <c r="Q9" s="1" t="s">
        <v>60</v>
      </c>
      <c r="R9" s="1" t="s">
        <v>61</v>
      </c>
      <c r="X9">
        <v>3</v>
      </c>
      <c r="AV9" s="1" t="s">
        <v>51</v>
      </c>
      <c r="AW9" s="1" t="s">
        <v>754</v>
      </c>
      <c r="AX9" s="1" t="s">
        <v>51</v>
      </c>
      <c r="AY9" s="1" t="s">
        <v>51</v>
      </c>
    </row>
    <row r="10" spans="1:51" ht="30" customHeight="1" x14ac:dyDescent="0.3">
      <c r="A10" s="5" t="s">
        <v>755</v>
      </c>
      <c r="B10" s="5" t="s">
        <v>751</v>
      </c>
      <c r="C10" s="5" t="s">
        <v>752</v>
      </c>
      <c r="D10" s="6">
        <f>공량산출근거서!K10</f>
        <v>8.9999999999999993E-3</v>
      </c>
      <c r="E10" s="11">
        <f>단가대비표!O172</f>
        <v>0</v>
      </c>
      <c r="F10" s="10">
        <f t="shared" si="0"/>
        <v>0</v>
      </c>
      <c r="G10" s="11">
        <f>단가대비표!P172</f>
        <v>414968</v>
      </c>
      <c r="H10" s="10">
        <f t="shared" si="1"/>
        <v>3734.71</v>
      </c>
      <c r="I10" s="11">
        <f>단가대비표!V172</f>
        <v>0</v>
      </c>
      <c r="J10" s="10">
        <f t="shared" si="2"/>
        <v>0</v>
      </c>
      <c r="K10" s="11">
        <f t="shared" si="3"/>
        <v>414968</v>
      </c>
      <c r="L10" s="10">
        <f t="shared" si="3"/>
        <v>3734.71</v>
      </c>
      <c r="M10" s="5" t="s">
        <v>51</v>
      </c>
      <c r="N10" s="1" t="s">
        <v>67</v>
      </c>
      <c r="O10" s="1" t="s">
        <v>756</v>
      </c>
      <c r="P10" s="1" t="s">
        <v>60</v>
      </c>
      <c r="Q10" s="1" t="s">
        <v>60</v>
      </c>
      <c r="R10" s="1" t="s">
        <v>61</v>
      </c>
      <c r="X10">
        <v>3</v>
      </c>
      <c r="AV10" s="1" t="s">
        <v>51</v>
      </c>
      <c r="AW10" s="1" t="s">
        <v>757</v>
      </c>
      <c r="AX10" s="1" t="s">
        <v>51</v>
      </c>
      <c r="AY10" s="1" t="s">
        <v>51</v>
      </c>
    </row>
    <row r="11" spans="1:51" ht="30" customHeight="1" x14ac:dyDescent="0.3">
      <c r="A11" s="5" t="s">
        <v>758</v>
      </c>
      <c r="B11" s="5" t="s">
        <v>759</v>
      </c>
      <c r="C11" s="5" t="s">
        <v>631</v>
      </c>
      <c r="D11" s="6">
        <v>1</v>
      </c>
      <c r="E11" s="11">
        <f>TRUNC(SUMIF(X5:X11, RIGHTB(O11, 1), H5:H11)*U11, 2)</f>
        <v>225.6</v>
      </c>
      <c r="F11" s="10">
        <f t="shared" si="0"/>
        <v>225.6</v>
      </c>
      <c r="G11" s="11">
        <v>0</v>
      </c>
      <c r="H11" s="10">
        <f t="shared" si="1"/>
        <v>0</v>
      </c>
      <c r="I11" s="11">
        <v>0</v>
      </c>
      <c r="J11" s="10">
        <f t="shared" si="2"/>
        <v>0</v>
      </c>
      <c r="K11" s="11">
        <f t="shared" si="3"/>
        <v>225.6</v>
      </c>
      <c r="L11" s="10">
        <f t="shared" si="3"/>
        <v>225.6</v>
      </c>
      <c r="M11" s="5" t="s">
        <v>51</v>
      </c>
      <c r="N11" s="1" t="s">
        <v>67</v>
      </c>
      <c r="O11" s="1" t="s">
        <v>760</v>
      </c>
      <c r="P11" s="1" t="s">
        <v>60</v>
      </c>
      <c r="Q11" s="1" t="s">
        <v>60</v>
      </c>
      <c r="R11" s="1" t="s">
        <v>60</v>
      </c>
      <c r="S11">
        <v>1</v>
      </c>
      <c r="T11">
        <v>0</v>
      </c>
      <c r="U11">
        <v>0.03</v>
      </c>
      <c r="AV11" s="1" t="s">
        <v>51</v>
      </c>
      <c r="AW11" s="1" t="s">
        <v>761</v>
      </c>
      <c r="AX11" s="1" t="s">
        <v>51</v>
      </c>
      <c r="AY11" s="1" t="s">
        <v>51</v>
      </c>
    </row>
    <row r="12" spans="1:51" ht="30" customHeight="1" x14ac:dyDescent="0.3">
      <c r="A12" s="5" t="s">
        <v>762</v>
      </c>
      <c r="B12" s="5" t="s">
        <v>51</v>
      </c>
      <c r="C12" s="5" t="s">
        <v>51</v>
      </c>
      <c r="D12" s="6"/>
      <c r="E12" s="11"/>
      <c r="F12" s="10">
        <f>TRUNC(SUMIF(N5:N11, N4, F5:F11),0)</f>
        <v>1641</v>
      </c>
      <c r="G12" s="11"/>
      <c r="H12" s="10">
        <f>TRUNC(SUMIF(N5:N11, N4, H5:H11),0)</f>
        <v>7520</v>
      </c>
      <c r="I12" s="11"/>
      <c r="J12" s="10">
        <f>TRUNC(SUMIF(N5:N11, N4, J5:J11),0)</f>
        <v>0</v>
      </c>
      <c r="K12" s="11"/>
      <c r="L12" s="10">
        <f>F12+H12+J12</f>
        <v>9161</v>
      </c>
      <c r="M12" s="5" t="s">
        <v>51</v>
      </c>
      <c r="N12" s="1" t="s">
        <v>208</v>
      </c>
      <c r="O12" s="1" t="s">
        <v>208</v>
      </c>
      <c r="P12" s="1" t="s">
        <v>51</v>
      </c>
      <c r="Q12" s="1" t="s">
        <v>51</v>
      </c>
      <c r="R12" s="1" t="s">
        <v>51</v>
      </c>
      <c r="AV12" s="1" t="s">
        <v>51</v>
      </c>
      <c r="AW12" s="1" t="s">
        <v>51</v>
      </c>
      <c r="AX12" s="1" t="s">
        <v>51</v>
      </c>
      <c r="AY12" s="1" t="s">
        <v>51</v>
      </c>
    </row>
    <row r="13" spans="1:51" ht="30" customHeight="1" x14ac:dyDescent="0.3">
      <c r="A13" s="6"/>
      <c r="B13" s="6"/>
      <c r="C13" s="6"/>
      <c r="D13" s="6"/>
      <c r="E13" s="11"/>
      <c r="F13" s="10"/>
      <c r="G13" s="11"/>
      <c r="H13" s="10"/>
      <c r="I13" s="11"/>
      <c r="J13" s="10"/>
      <c r="K13" s="11"/>
      <c r="L13" s="10"/>
      <c r="M13" s="6"/>
    </row>
    <row r="14" spans="1:51" ht="30" customHeight="1" x14ac:dyDescent="0.3">
      <c r="A14" s="37" t="s">
        <v>763</v>
      </c>
      <c r="B14" s="37"/>
      <c r="C14" s="37"/>
      <c r="D14" s="37"/>
      <c r="E14" s="38"/>
      <c r="F14" s="39"/>
      <c r="G14" s="38"/>
      <c r="H14" s="39"/>
      <c r="I14" s="38"/>
      <c r="J14" s="39"/>
      <c r="K14" s="38"/>
      <c r="L14" s="39"/>
      <c r="M14" s="37"/>
      <c r="N14" s="1" t="s">
        <v>72</v>
      </c>
    </row>
    <row r="15" spans="1:51" ht="30" customHeight="1" x14ac:dyDescent="0.3">
      <c r="A15" s="5" t="s">
        <v>764</v>
      </c>
      <c r="B15" s="5" t="s">
        <v>765</v>
      </c>
      <c r="C15" s="5" t="s">
        <v>65</v>
      </c>
      <c r="D15" s="6">
        <v>1</v>
      </c>
      <c r="E15" s="11">
        <f>단가대비표!O24</f>
        <v>12010</v>
      </c>
      <c r="F15" s="10">
        <f>TRUNC(E15*D15,2)</f>
        <v>12010</v>
      </c>
      <c r="G15" s="11">
        <f>단가대비표!P24</f>
        <v>0</v>
      </c>
      <c r="H15" s="10">
        <f>TRUNC(G15*D15,2)</f>
        <v>0</v>
      </c>
      <c r="I15" s="11">
        <f>단가대비표!V24</f>
        <v>0</v>
      </c>
      <c r="J15" s="10">
        <f>TRUNC(I15*D15,2)</f>
        <v>0</v>
      </c>
      <c r="K15" s="11">
        <f t="shared" ref="K15:L19" si="4">TRUNC(E15+G15+I15,2)</f>
        <v>12010</v>
      </c>
      <c r="L15" s="10">
        <f t="shared" si="4"/>
        <v>12010</v>
      </c>
      <c r="M15" s="5" t="s">
        <v>51</v>
      </c>
      <c r="N15" s="1" t="s">
        <v>72</v>
      </c>
      <c r="O15" s="1" t="s">
        <v>766</v>
      </c>
      <c r="P15" s="1" t="s">
        <v>60</v>
      </c>
      <c r="Q15" s="1" t="s">
        <v>60</v>
      </c>
      <c r="R15" s="1" t="s">
        <v>61</v>
      </c>
      <c r="V15">
        <v>1</v>
      </c>
      <c r="AV15" s="1" t="s">
        <v>51</v>
      </c>
      <c r="AW15" s="1" t="s">
        <v>767</v>
      </c>
      <c r="AX15" s="1" t="s">
        <v>51</v>
      </c>
      <c r="AY15" s="1" t="s">
        <v>51</v>
      </c>
    </row>
    <row r="16" spans="1:51" ht="30" customHeight="1" x14ac:dyDescent="0.3">
      <c r="A16" s="5" t="s">
        <v>764</v>
      </c>
      <c r="B16" s="5" t="s">
        <v>765</v>
      </c>
      <c r="C16" s="5" t="s">
        <v>65</v>
      </c>
      <c r="D16" s="6">
        <v>0.1</v>
      </c>
      <c r="E16" s="11">
        <f>단가대비표!O24</f>
        <v>12010</v>
      </c>
      <c r="F16" s="10">
        <f>TRUNC(E16*D16,2)</f>
        <v>1201</v>
      </c>
      <c r="G16" s="11">
        <f>단가대비표!P24</f>
        <v>0</v>
      </c>
      <c r="H16" s="10">
        <f>TRUNC(G16*D16,2)</f>
        <v>0</v>
      </c>
      <c r="I16" s="11">
        <f>단가대비표!V24</f>
        <v>0</v>
      </c>
      <c r="J16" s="10">
        <f>TRUNC(I16*D16,2)</f>
        <v>0</v>
      </c>
      <c r="K16" s="11">
        <f t="shared" si="4"/>
        <v>12010</v>
      </c>
      <c r="L16" s="10">
        <f t="shared" si="4"/>
        <v>1201</v>
      </c>
      <c r="M16" s="5" t="s">
        <v>51</v>
      </c>
      <c r="N16" s="1" t="s">
        <v>72</v>
      </c>
      <c r="O16" s="1" t="s">
        <v>766</v>
      </c>
      <c r="P16" s="1" t="s">
        <v>60</v>
      </c>
      <c r="Q16" s="1" t="s">
        <v>60</v>
      </c>
      <c r="R16" s="1" t="s">
        <v>61</v>
      </c>
      <c r="AV16" s="1" t="s">
        <v>51</v>
      </c>
      <c r="AW16" s="1" t="s">
        <v>767</v>
      </c>
      <c r="AX16" s="1" t="s">
        <v>51</v>
      </c>
      <c r="AY16" s="1" t="s">
        <v>51</v>
      </c>
    </row>
    <row r="17" spans="1:51" ht="30" customHeight="1" x14ac:dyDescent="0.3">
      <c r="A17" s="5" t="s">
        <v>746</v>
      </c>
      <c r="B17" s="5" t="s">
        <v>747</v>
      </c>
      <c r="C17" s="5" t="s">
        <v>631</v>
      </c>
      <c r="D17" s="6">
        <v>1</v>
      </c>
      <c r="E17" s="11">
        <f>TRUNC(SUMIF(V15:V19, RIGHTB(O17, 1), F15:F19)*U17, 2)</f>
        <v>240.2</v>
      </c>
      <c r="F17" s="10">
        <f>TRUNC(E17*D17,2)</f>
        <v>240.2</v>
      </c>
      <c r="G17" s="11">
        <v>0</v>
      </c>
      <c r="H17" s="10">
        <f>TRUNC(G17*D17,2)</f>
        <v>0</v>
      </c>
      <c r="I17" s="11">
        <v>0</v>
      </c>
      <c r="J17" s="10">
        <f>TRUNC(I17*D17,2)</f>
        <v>0</v>
      </c>
      <c r="K17" s="11">
        <f t="shared" si="4"/>
        <v>240.2</v>
      </c>
      <c r="L17" s="10">
        <f t="shared" si="4"/>
        <v>240.2</v>
      </c>
      <c r="M17" s="5" t="s">
        <v>51</v>
      </c>
      <c r="N17" s="1" t="s">
        <v>72</v>
      </c>
      <c r="O17" s="1" t="s">
        <v>657</v>
      </c>
      <c r="P17" s="1" t="s">
        <v>60</v>
      </c>
      <c r="Q17" s="1" t="s">
        <v>60</v>
      </c>
      <c r="R17" s="1" t="s">
        <v>60</v>
      </c>
      <c r="S17">
        <v>0</v>
      </c>
      <c r="T17">
        <v>0</v>
      </c>
      <c r="U17">
        <v>0.02</v>
      </c>
      <c r="AV17" s="1" t="s">
        <v>51</v>
      </c>
      <c r="AW17" s="1" t="s">
        <v>768</v>
      </c>
      <c r="AX17" s="1" t="s">
        <v>51</v>
      </c>
      <c r="AY17" s="1" t="s">
        <v>51</v>
      </c>
    </row>
    <row r="18" spans="1:51" ht="30" customHeight="1" x14ac:dyDescent="0.3">
      <c r="A18" s="5" t="s">
        <v>769</v>
      </c>
      <c r="B18" s="5" t="s">
        <v>751</v>
      </c>
      <c r="C18" s="5" t="s">
        <v>752</v>
      </c>
      <c r="D18" s="6">
        <f>공량산출근거서!K14</f>
        <v>1.6500000000000001E-2</v>
      </c>
      <c r="E18" s="11">
        <f>단가대비표!O169</f>
        <v>0</v>
      </c>
      <c r="F18" s="10">
        <f>TRUNC(E18*D18,2)</f>
        <v>0</v>
      </c>
      <c r="G18" s="11">
        <f>단가대비표!P169</f>
        <v>273676</v>
      </c>
      <c r="H18" s="10">
        <f>TRUNC(G18*D18,2)</f>
        <v>4515.6499999999996</v>
      </c>
      <c r="I18" s="11">
        <f>단가대비표!V169</f>
        <v>0</v>
      </c>
      <c r="J18" s="10">
        <f>TRUNC(I18*D18,2)</f>
        <v>0</v>
      </c>
      <c r="K18" s="11">
        <f t="shared" si="4"/>
        <v>273676</v>
      </c>
      <c r="L18" s="10">
        <f t="shared" si="4"/>
        <v>4515.6499999999996</v>
      </c>
      <c r="M18" s="5" t="s">
        <v>51</v>
      </c>
      <c r="N18" s="1" t="s">
        <v>72</v>
      </c>
      <c r="O18" s="1" t="s">
        <v>770</v>
      </c>
      <c r="P18" s="1" t="s">
        <v>60</v>
      </c>
      <c r="Q18" s="1" t="s">
        <v>60</v>
      </c>
      <c r="R18" s="1" t="s">
        <v>61</v>
      </c>
      <c r="W18">
        <v>2</v>
      </c>
      <c r="AV18" s="1" t="s">
        <v>51</v>
      </c>
      <c r="AW18" s="1" t="s">
        <v>771</v>
      </c>
      <c r="AX18" s="1" t="s">
        <v>51</v>
      </c>
      <c r="AY18" s="1" t="s">
        <v>51</v>
      </c>
    </row>
    <row r="19" spans="1:51" ht="30" customHeight="1" x14ac:dyDescent="0.3">
      <c r="A19" s="5" t="s">
        <v>758</v>
      </c>
      <c r="B19" s="5" t="s">
        <v>772</v>
      </c>
      <c r="C19" s="5" t="s">
        <v>631</v>
      </c>
      <c r="D19" s="6">
        <v>1</v>
      </c>
      <c r="E19" s="11">
        <f>TRUNC(SUMIF(W15:W19, RIGHTB(O19, 1), H15:H19)*U19, 2)</f>
        <v>135.46</v>
      </c>
      <c r="F19" s="10">
        <f>TRUNC(E19*D19,2)</f>
        <v>135.46</v>
      </c>
      <c r="G19" s="11">
        <v>0</v>
      </c>
      <c r="H19" s="10">
        <f>TRUNC(G19*D19,2)</f>
        <v>0</v>
      </c>
      <c r="I19" s="11">
        <v>0</v>
      </c>
      <c r="J19" s="10">
        <f>TRUNC(I19*D19,2)</f>
        <v>0</v>
      </c>
      <c r="K19" s="11">
        <f t="shared" si="4"/>
        <v>135.46</v>
      </c>
      <c r="L19" s="10">
        <f t="shared" si="4"/>
        <v>135.46</v>
      </c>
      <c r="M19" s="5" t="s">
        <v>51</v>
      </c>
      <c r="N19" s="1" t="s">
        <v>72</v>
      </c>
      <c r="O19" s="1" t="s">
        <v>748</v>
      </c>
      <c r="P19" s="1" t="s">
        <v>60</v>
      </c>
      <c r="Q19" s="1" t="s">
        <v>60</v>
      </c>
      <c r="R19" s="1" t="s">
        <v>60</v>
      </c>
      <c r="S19">
        <v>1</v>
      </c>
      <c r="T19">
        <v>0</v>
      </c>
      <c r="U19">
        <v>0.03</v>
      </c>
      <c r="AV19" s="1" t="s">
        <v>51</v>
      </c>
      <c r="AW19" s="1" t="s">
        <v>773</v>
      </c>
      <c r="AX19" s="1" t="s">
        <v>51</v>
      </c>
      <c r="AY19" s="1" t="s">
        <v>51</v>
      </c>
    </row>
    <row r="20" spans="1:51" ht="30" customHeight="1" x14ac:dyDescent="0.3">
      <c r="A20" s="5" t="s">
        <v>762</v>
      </c>
      <c r="B20" s="5" t="s">
        <v>51</v>
      </c>
      <c r="C20" s="5" t="s">
        <v>51</v>
      </c>
      <c r="D20" s="6"/>
      <c r="E20" s="11"/>
      <c r="F20" s="10">
        <f>TRUNC(SUMIF(N15:N19, N14, F15:F19),0)</f>
        <v>13586</v>
      </c>
      <c r="G20" s="11"/>
      <c r="H20" s="10">
        <f>TRUNC(SUMIF(N15:N19, N14, H15:H19),0)</f>
        <v>4515</v>
      </c>
      <c r="I20" s="11"/>
      <c r="J20" s="10">
        <f>TRUNC(SUMIF(N15:N19, N14, J15:J19),0)</f>
        <v>0</v>
      </c>
      <c r="K20" s="11"/>
      <c r="L20" s="10">
        <f>F20+H20+J20</f>
        <v>18101</v>
      </c>
      <c r="M20" s="5" t="s">
        <v>51</v>
      </c>
      <c r="N20" s="1" t="s">
        <v>208</v>
      </c>
      <c r="O20" s="1" t="s">
        <v>208</v>
      </c>
      <c r="P20" s="1" t="s">
        <v>51</v>
      </c>
      <c r="Q20" s="1" t="s">
        <v>51</v>
      </c>
      <c r="R20" s="1" t="s">
        <v>51</v>
      </c>
      <c r="AV20" s="1" t="s">
        <v>51</v>
      </c>
      <c r="AW20" s="1" t="s">
        <v>51</v>
      </c>
      <c r="AX20" s="1" t="s">
        <v>51</v>
      </c>
      <c r="AY20" s="1" t="s">
        <v>51</v>
      </c>
    </row>
    <row r="21" spans="1:51" ht="30" customHeight="1" x14ac:dyDescent="0.3">
      <c r="A21" s="6"/>
      <c r="B21" s="6"/>
      <c r="C21" s="6"/>
      <c r="D21" s="6"/>
      <c r="E21" s="11"/>
      <c r="F21" s="10"/>
      <c r="G21" s="11"/>
      <c r="H21" s="10"/>
      <c r="I21" s="11"/>
      <c r="J21" s="10"/>
      <c r="K21" s="11"/>
      <c r="L21" s="10"/>
      <c r="M21" s="6"/>
    </row>
    <row r="22" spans="1:51" ht="30" customHeight="1" x14ac:dyDescent="0.3">
      <c r="A22" s="37" t="s">
        <v>774</v>
      </c>
      <c r="B22" s="37"/>
      <c r="C22" s="37"/>
      <c r="D22" s="37"/>
      <c r="E22" s="38"/>
      <c r="F22" s="39"/>
      <c r="G22" s="38"/>
      <c r="H22" s="39"/>
      <c r="I22" s="38"/>
      <c r="J22" s="39"/>
      <c r="K22" s="38"/>
      <c r="L22" s="39"/>
      <c r="M22" s="37"/>
      <c r="N22" s="1" t="s">
        <v>90</v>
      </c>
    </row>
    <row r="23" spans="1:51" ht="30" customHeight="1" x14ac:dyDescent="0.3">
      <c r="A23" s="5" t="s">
        <v>775</v>
      </c>
      <c r="B23" s="5" t="s">
        <v>776</v>
      </c>
      <c r="C23" s="5" t="s">
        <v>58</v>
      </c>
      <c r="D23" s="6">
        <v>1</v>
      </c>
      <c r="E23" s="11">
        <f>단가대비표!O108</f>
        <v>0</v>
      </c>
      <c r="F23" s="10">
        <f>TRUNC(E23*D23,2)</f>
        <v>0</v>
      </c>
      <c r="G23" s="11">
        <f>단가대비표!P108</f>
        <v>0</v>
      </c>
      <c r="H23" s="10">
        <f>TRUNC(G23*D23,2)</f>
        <v>0</v>
      </c>
      <c r="I23" s="11">
        <f>단가대비표!V108</f>
        <v>0</v>
      </c>
      <c r="J23" s="10">
        <f>TRUNC(I23*D23,2)</f>
        <v>0</v>
      </c>
      <c r="K23" s="11">
        <f t="shared" ref="K23:L26" si="5">TRUNC(E23+G23+I23,2)</f>
        <v>0</v>
      </c>
      <c r="L23" s="10">
        <f t="shared" si="5"/>
        <v>0</v>
      </c>
      <c r="M23" s="5" t="s">
        <v>51</v>
      </c>
      <c r="N23" s="1" t="s">
        <v>90</v>
      </c>
      <c r="O23" s="1" t="s">
        <v>777</v>
      </c>
      <c r="P23" s="1" t="s">
        <v>60</v>
      </c>
      <c r="Q23" s="1" t="s">
        <v>60</v>
      </c>
      <c r="R23" s="1" t="s">
        <v>61</v>
      </c>
      <c r="AV23" s="1" t="s">
        <v>51</v>
      </c>
      <c r="AW23" s="1" t="s">
        <v>778</v>
      </c>
      <c r="AX23" s="1" t="s">
        <v>51</v>
      </c>
      <c r="AY23" s="1" t="s">
        <v>51</v>
      </c>
    </row>
    <row r="24" spans="1:51" ht="30" customHeight="1" x14ac:dyDescent="0.3">
      <c r="A24" s="5" t="s">
        <v>750</v>
      </c>
      <c r="B24" s="5" t="s">
        <v>751</v>
      </c>
      <c r="C24" s="5" t="s">
        <v>752</v>
      </c>
      <c r="D24" s="6">
        <f>공량산출근거서!K18</f>
        <v>0.11</v>
      </c>
      <c r="E24" s="11">
        <f>단가대비표!O162</f>
        <v>0</v>
      </c>
      <c r="F24" s="10">
        <f>TRUNC(E24*D24,2)</f>
        <v>0</v>
      </c>
      <c r="G24" s="11">
        <f>단가대비표!P162</f>
        <v>172068</v>
      </c>
      <c r="H24" s="10">
        <f>TRUNC(G24*D24,2)</f>
        <v>18927.48</v>
      </c>
      <c r="I24" s="11">
        <f>단가대비표!V162</f>
        <v>0</v>
      </c>
      <c r="J24" s="10">
        <f>TRUNC(I24*D24,2)</f>
        <v>0</v>
      </c>
      <c r="K24" s="11">
        <f t="shared" si="5"/>
        <v>172068</v>
      </c>
      <c r="L24" s="10">
        <f t="shared" si="5"/>
        <v>18927.48</v>
      </c>
      <c r="M24" s="5" t="s">
        <v>51</v>
      </c>
      <c r="N24" s="1" t="s">
        <v>90</v>
      </c>
      <c r="O24" s="1" t="s">
        <v>753</v>
      </c>
      <c r="P24" s="1" t="s">
        <v>60</v>
      </c>
      <c r="Q24" s="1" t="s">
        <v>60</v>
      </c>
      <c r="R24" s="1" t="s">
        <v>61</v>
      </c>
      <c r="V24">
        <v>1</v>
      </c>
      <c r="AV24" s="1" t="s">
        <v>51</v>
      </c>
      <c r="AW24" s="1" t="s">
        <v>779</v>
      </c>
      <c r="AX24" s="1" t="s">
        <v>51</v>
      </c>
      <c r="AY24" s="1" t="s">
        <v>51</v>
      </c>
    </row>
    <row r="25" spans="1:51" ht="30" customHeight="1" x14ac:dyDescent="0.3">
      <c r="A25" s="5" t="s">
        <v>755</v>
      </c>
      <c r="B25" s="5" t="s">
        <v>751</v>
      </c>
      <c r="C25" s="5" t="s">
        <v>752</v>
      </c>
      <c r="D25" s="6">
        <f>공량산출근거서!K19</f>
        <v>0.22</v>
      </c>
      <c r="E25" s="11">
        <f>단가대비표!O172</f>
        <v>0</v>
      </c>
      <c r="F25" s="10">
        <f>TRUNC(E25*D25,2)</f>
        <v>0</v>
      </c>
      <c r="G25" s="11">
        <f>단가대비표!P172</f>
        <v>414968</v>
      </c>
      <c r="H25" s="10">
        <f>TRUNC(G25*D25,2)</f>
        <v>91292.96</v>
      </c>
      <c r="I25" s="11">
        <f>단가대비표!V172</f>
        <v>0</v>
      </c>
      <c r="J25" s="10">
        <f>TRUNC(I25*D25,2)</f>
        <v>0</v>
      </c>
      <c r="K25" s="11">
        <f t="shared" si="5"/>
        <v>414968</v>
      </c>
      <c r="L25" s="10">
        <f t="shared" si="5"/>
        <v>91292.96</v>
      </c>
      <c r="M25" s="5" t="s">
        <v>51</v>
      </c>
      <c r="N25" s="1" t="s">
        <v>90</v>
      </c>
      <c r="O25" s="1" t="s">
        <v>756</v>
      </c>
      <c r="P25" s="1" t="s">
        <v>60</v>
      </c>
      <c r="Q25" s="1" t="s">
        <v>60</v>
      </c>
      <c r="R25" s="1" t="s">
        <v>61</v>
      </c>
      <c r="V25">
        <v>1</v>
      </c>
      <c r="AV25" s="1" t="s">
        <v>51</v>
      </c>
      <c r="AW25" s="1" t="s">
        <v>780</v>
      </c>
      <c r="AX25" s="1" t="s">
        <v>51</v>
      </c>
      <c r="AY25" s="1" t="s">
        <v>51</v>
      </c>
    </row>
    <row r="26" spans="1:51" ht="30" customHeight="1" x14ac:dyDescent="0.3">
      <c r="A26" s="5" t="s">
        <v>758</v>
      </c>
      <c r="B26" s="5" t="s">
        <v>772</v>
      </c>
      <c r="C26" s="5" t="s">
        <v>631</v>
      </c>
      <c r="D26" s="6">
        <v>1</v>
      </c>
      <c r="E26" s="11">
        <f>TRUNC(SUMIF(V23:V26, RIGHTB(O26, 1), H23:H26)*U26, 2)</f>
        <v>3306.61</v>
      </c>
      <c r="F26" s="10">
        <f>TRUNC(E26*D26,2)</f>
        <v>3306.61</v>
      </c>
      <c r="G26" s="11">
        <v>0</v>
      </c>
      <c r="H26" s="10">
        <f>TRUNC(G26*D26,2)</f>
        <v>0</v>
      </c>
      <c r="I26" s="11">
        <v>0</v>
      </c>
      <c r="J26" s="10">
        <f>TRUNC(I26*D26,2)</f>
        <v>0</v>
      </c>
      <c r="K26" s="11">
        <f t="shared" si="5"/>
        <v>3306.61</v>
      </c>
      <c r="L26" s="10">
        <f t="shared" si="5"/>
        <v>3306.61</v>
      </c>
      <c r="M26" s="5" t="s">
        <v>51</v>
      </c>
      <c r="N26" s="1" t="s">
        <v>90</v>
      </c>
      <c r="O26" s="1" t="s">
        <v>657</v>
      </c>
      <c r="P26" s="1" t="s">
        <v>60</v>
      </c>
      <c r="Q26" s="1" t="s">
        <v>60</v>
      </c>
      <c r="R26" s="1" t="s">
        <v>60</v>
      </c>
      <c r="S26">
        <v>1</v>
      </c>
      <c r="T26">
        <v>0</v>
      </c>
      <c r="U26">
        <v>0.03</v>
      </c>
      <c r="AV26" s="1" t="s">
        <v>51</v>
      </c>
      <c r="AW26" s="1" t="s">
        <v>781</v>
      </c>
      <c r="AX26" s="1" t="s">
        <v>51</v>
      </c>
      <c r="AY26" s="1" t="s">
        <v>51</v>
      </c>
    </row>
    <row r="27" spans="1:51" ht="30" customHeight="1" x14ac:dyDescent="0.3">
      <c r="A27" s="5" t="s">
        <v>762</v>
      </c>
      <c r="B27" s="5" t="s">
        <v>51</v>
      </c>
      <c r="C27" s="5" t="s">
        <v>51</v>
      </c>
      <c r="D27" s="6"/>
      <c r="E27" s="11"/>
      <c r="F27" s="10">
        <f>TRUNC(SUMIF(N23:N26, N22, F23:F26),0)</f>
        <v>3306</v>
      </c>
      <c r="G27" s="11"/>
      <c r="H27" s="10">
        <f>TRUNC(SUMIF(N23:N26, N22, H23:H26),0)</f>
        <v>110220</v>
      </c>
      <c r="I27" s="11"/>
      <c r="J27" s="10">
        <f>TRUNC(SUMIF(N23:N26, N22, J23:J26),0)</f>
        <v>0</v>
      </c>
      <c r="K27" s="11"/>
      <c r="L27" s="10">
        <f>F27+H27+J27</f>
        <v>113526</v>
      </c>
      <c r="M27" s="5" t="s">
        <v>51</v>
      </c>
      <c r="N27" s="1" t="s">
        <v>208</v>
      </c>
      <c r="O27" s="1" t="s">
        <v>208</v>
      </c>
      <c r="P27" s="1" t="s">
        <v>51</v>
      </c>
      <c r="Q27" s="1" t="s">
        <v>51</v>
      </c>
      <c r="R27" s="1" t="s">
        <v>51</v>
      </c>
      <c r="AV27" s="1" t="s">
        <v>51</v>
      </c>
      <c r="AW27" s="1" t="s">
        <v>51</v>
      </c>
      <c r="AX27" s="1" t="s">
        <v>51</v>
      </c>
      <c r="AY27" s="1" t="s">
        <v>51</v>
      </c>
    </row>
    <row r="28" spans="1:51" ht="30" customHeight="1" x14ac:dyDescent="0.3">
      <c r="A28" s="6"/>
      <c r="B28" s="6"/>
      <c r="C28" s="6"/>
      <c r="D28" s="6"/>
      <c r="E28" s="11"/>
      <c r="F28" s="10"/>
      <c r="G28" s="11"/>
      <c r="H28" s="10"/>
      <c r="I28" s="11"/>
      <c r="J28" s="10"/>
      <c r="K28" s="11"/>
      <c r="L28" s="10"/>
      <c r="M28" s="6"/>
    </row>
    <row r="29" spans="1:51" ht="30" customHeight="1" x14ac:dyDescent="0.3">
      <c r="A29" s="37" t="s">
        <v>782</v>
      </c>
      <c r="B29" s="37"/>
      <c r="C29" s="37"/>
      <c r="D29" s="37"/>
      <c r="E29" s="38"/>
      <c r="F29" s="39"/>
      <c r="G29" s="38"/>
      <c r="H29" s="39"/>
      <c r="I29" s="38"/>
      <c r="J29" s="39"/>
      <c r="K29" s="38"/>
      <c r="L29" s="39"/>
      <c r="M29" s="37"/>
      <c r="N29" s="1" t="s">
        <v>94</v>
      </c>
    </row>
    <row r="30" spans="1:51" ht="30" customHeight="1" x14ac:dyDescent="0.3">
      <c r="A30" s="5" t="s">
        <v>740</v>
      </c>
      <c r="B30" s="5" t="s">
        <v>92</v>
      </c>
      <c r="C30" s="5" t="s">
        <v>65</v>
      </c>
      <c r="D30" s="6">
        <v>1</v>
      </c>
      <c r="E30" s="11">
        <f>단가대비표!O134</f>
        <v>2796</v>
      </c>
      <c r="F30" s="10">
        <f t="shared" ref="F30:F36" si="6">TRUNC(E30*D30,2)</f>
        <v>2796</v>
      </c>
      <c r="G30" s="11">
        <f>단가대비표!P134</f>
        <v>0</v>
      </c>
      <c r="H30" s="10">
        <f t="shared" ref="H30:H36" si="7">TRUNC(G30*D30,2)</f>
        <v>0</v>
      </c>
      <c r="I30" s="11">
        <f>단가대비표!V134</f>
        <v>0</v>
      </c>
      <c r="J30" s="10">
        <f t="shared" ref="J30:J36" si="8">TRUNC(I30*D30,2)</f>
        <v>0</v>
      </c>
      <c r="K30" s="11">
        <f t="shared" ref="K30:L36" si="9">TRUNC(E30+G30+I30,2)</f>
        <v>2796</v>
      </c>
      <c r="L30" s="10">
        <f t="shared" si="9"/>
        <v>2796</v>
      </c>
      <c r="M30" s="5" t="s">
        <v>51</v>
      </c>
      <c r="N30" s="1" t="s">
        <v>94</v>
      </c>
      <c r="O30" s="1" t="s">
        <v>783</v>
      </c>
      <c r="P30" s="1" t="s">
        <v>60</v>
      </c>
      <c r="Q30" s="1" t="s">
        <v>60</v>
      </c>
      <c r="R30" s="1" t="s">
        <v>61</v>
      </c>
      <c r="V30">
        <v>1</v>
      </c>
      <c r="W30">
        <v>2</v>
      </c>
      <c r="AV30" s="1" t="s">
        <v>51</v>
      </c>
      <c r="AW30" s="1" t="s">
        <v>784</v>
      </c>
      <c r="AX30" s="1" t="s">
        <v>51</v>
      </c>
      <c r="AY30" s="1" t="s">
        <v>51</v>
      </c>
    </row>
    <row r="31" spans="1:51" ht="30" customHeight="1" x14ac:dyDescent="0.3">
      <c r="A31" s="5" t="s">
        <v>740</v>
      </c>
      <c r="B31" s="5" t="s">
        <v>92</v>
      </c>
      <c r="C31" s="5" t="s">
        <v>65</v>
      </c>
      <c r="D31" s="6">
        <v>0.03</v>
      </c>
      <c r="E31" s="11">
        <f>단가대비표!O134</f>
        <v>2796</v>
      </c>
      <c r="F31" s="10">
        <f t="shared" si="6"/>
        <v>83.88</v>
      </c>
      <c r="G31" s="11">
        <f>단가대비표!P134</f>
        <v>0</v>
      </c>
      <c r="H31" s="10">
        <f t="shared" si="7"/>
        <v>0</v>
      </c>
      <c r="I31" s="11">
        <f>단가대비표!V134</f>
        <v>0</v>
      </c>
      <c r="J31" s="10">
        <f t="shared" si="8"/>
        <v>0</v>
      </c>
      <c r="K31" s="11">
        <f t="shared" si="9"/>
        <v>2796</v>
      </c>
      <c r="L31" s="10">
        <f t="shared" si="9"/>
        <v>83.88</v>
      </c>
      <c r="M31" s="5" t="s">
        <v>51</v>
      </c>
      <c r="N31" s="1" t="s">
        <v>94</v>
      </c>
      <c r="O31" s="1" t="s">
        <v>783</v>
      </c>
      <c r="P31" s="1" t="s">
        <v>60</v>
      </c>
      <c r="Q31" s="1" t="s">
        <v>60</v>
      </c>
      <c r="R31" s="1" t="s">
        <v>61</v>
      </c>
      <c r="AV31" s="1" t="s">
        <v>51</v>
      </c>
      <c r="AW31" s="1" t="s">
        <v>784</v>
      </c>
      <c r="AX31" s="1" t="s">
        <v>51</v>
      </c>
      <c r="AY31" s="1" t="s">
        <v>51</v>
      </c>
    </row>
    <row r="32" spans="1:51" ht="30" customHeight="1" x14ac:dyDescent="0.3">
      <c r="A32" s="5" t="s">
        <v>743</v>
      </c>
      <c r="B32" s="5" t="s">
        <v>744</v>
      </c>
      <c r="C32" s="5" t="s">
        <v>631</v>
      </c>
      <c r="D32" s="6">
        <v>1</v>
      </c>
      <c r="E32" s="11">
        <f>TRUNC(SUMIF(V30:V36, RIGHTB(O32, 1), F30:F36)*U32, 2)</f>
        <v>419.4</v>
      </c>
      <c r="F32" s="10">
        <f t="shared" si="6"/>
        <v>419.4</v>
      </c>
      <c r="G32" s="11">
        <v>0</v>
      </c>
      <c r="H32" s="10">
        <f t="shared" si="7"/>
        <v>0</v>
      </c>
      <c r="I32" s="11">
        <v>0</v>
      </c>
      <c r="J32" s="10">
        <f t="shared" si="8"/>
        <v>0</v>
      </c>
      <c r="K32" s="11">
        <f t="shared" si="9"/>
        <v>419.4</v>
      </c>
      <c r="L32" s="10">
        <f t="shared" si="9"/>
        <v>419.4</v>
      </c>
      <c r="M32" s="5" t="s">
        <v>51</v>
      </c>
      <c r="N32" s="1" t="s">
        <v>94</v>
      </c>
      <c r="O32" s="1" t="s">
        <v>657</v>
      </c>
      <c r="P32" s="1" t="s">
        <v>60</v>
      </c>
      <c r="Q32" s="1" t="s">
        <v>60</v>
      </c>
      <c r="R32" s="1" t="s">
        <v>60</v>
      </c>
      <c r="S32">
        <v>0</v>
      </c>
      <c r="T32">
        <v>0</v>
      </c>
      <c r="U32">
        <v>0.15</v>
      </c>
      <c r="AV32" s="1" t="s">
        <v>51</v>
      </c>
      <c r="AW32" s="1" t="s">
        <v>785</v>
      </c>
      <c r="AX32" s="1" t="s">
        <v>51</v>
      </c>
      <c r="AY32" s="1" t="s">
        <v>51</v>
      </c>
    </row>
    <row r="33" spans="1:51" ht="30" customHeight="1" x14ac:dyDescent="0.3">
      <c r="A33" s="5" t="s">
        <v>746</v>
      </c>
      <c r="B33" s="5" t="s">
        <v>786</v>
      </c>
      <c r="C33" s="5" t="s">
        <v>631</v>
      </c>
      <c r="D33" s="6">
        <v>1</v>
      </c>
      <c r="E33" s="11">
        <f>TRUNC(SUMIF(W30:W36, RIGHTB(O33, 1), F30:F36)*U33, 2)</f>
        <v>55.92</v>
      </c>
      <c r="F33" s="10">
        <f t="shared" si="6"/>
        <v>55.92</v>
      </c>
      <c r="G33" s="11">
        <v>0</v>
      </c>
      <c r="H33" s="10">
        <f t="shared" si="7"/>
        <v>0</v>
      </c>
      <c r="I33" s="11">
        <v>0</v>
      </c>
      <c r="J33" s="10">
        <f t="shared" si="8"/>
        <v>0</v>
      </c>
      <c r="K33" s="11">
        <f t="shared" si="9"/>
        <v>55.92</v>
      </c>
      <c r="L33" s="10">
        <f t="shared" si="9"/>
        <v>55.92</v>
      </c>
      <c r="M33" s="5" t="s">
        <v>51</v>
      </c>
      <c r="N33" s="1" t="s">
        <v>94</v>
      </c>
      <c r="O33" s="1" t="s">
        <v>748</v>
      </c>
      <c r="P33" s="1" t="s">
        <v>60</v>
      </c>
      <c r="Q33" s="1" t="s">
        <v>60</v>
      </c>
      <c r="R33" s="1" t="s">
        <v>60</v>
      </c>
      <c r="S33">
        <v>0</v>
      </c>
      <c r="T33">
        <v>0</v>
      </c>
      <c r="U33">
        <v>0.02</v>
      </c>
      <c r="AV33" s="1" t="s">
        <v>51</v>
      </c>
      <c r="AW33" s="1" t="s">
        <v>787</v>
      </c>
      <c r="AX33" s="1" t="s">
        <v>51</v>
      </c>
      <c r="AY33" s="1" t="s">
        <v>51</v>
      </c>
    </row>
    <row r="34" spans="1:51" ht="30" customHeight="1" x14ac:dyDescent="0.3">
      <c r="A34" s="5" t="s">
        <v>750</v>
      </c>
      <c r="B34" s="5" t="s">
        <v>751</v>
      </c>
      <c r="C34" s="5" t="s">
        <v>752</v>
      </c>
      <c r="D34" s="6">
        <f>공량산출근거서!K25</f>
        <v>4.8000000000000001E-2</v>
      </c>
      <c r="E34" s="11">
        <f>단가대비표!O162</f>
        <v>0</v>
      </c>
      <c r="F34" s="10">
        <f t="shared" si="6"/>
        <v>0</v>
      </c>
      <c r="G34" s="11">
        <f>단가대비표!P162</f>
        <v>172068</v>
      </c>
      <c r="H34" s="10">
        <f t="shared" si="7"/>
        <v>8259.26</v>
      </c>
      <c r="I34" s="11">
        <f>단가대비표!V162</f>
        <v>0</v>
      </c>
      <c r="J34" s="10">
        <f t="shared" si="8"/>
        <v>0</v>
      </c>
      <c r="K34" s="11">
        <f t="shared" si="9"/>
        <v>172068</v>
      </c>
      <c r="L34" s="10">
        <f t="shared" si="9"/>
        <v>8259.26</v>
      </c>
      <c r="M34" s="5" t="s">
        <v>51</v>
      </c>
      <c r="N34" s="1" t="s">
        <v>94</v>
      </c>
      <c r="O34" s="1" t="s">
        <v>753</v>
      </c>
      <c r="P34" s="1" t="s">
        <v>60</v>
      </c>
      <c r="Q34" s="1" t="s">
        <v>60</v>
      </c>
      <c r="R34" s="1" t="s">
        <v>61</v>
      </c>
      <c r="X34">
        <v>3</v>
      </c>
      <c r="AV34" s="1" t="s">
        <v>51</v>
      </c>
      <c r="AW34" s="1" t="s">
        <v>788</v>
      </c>
      <c r="AX34" s="1" t="s">
        <v>51</v>
      </c>
      <c r="AY34" s="1" t="s">
        <v>51</v>
      </c>
    </row>
    <row r="35" spans="1:51" ht="30" customHeight="1" x14ac:dyDescent="0.3">
      <c r="A35" s="5" t="s">
        <v>755</v>
      </c>
      <c r="B35" s="5" t="s">
        <v>751</v>
      </c>
      <c r="C35" s="5" t="s">
        <v>752</v>
      </c>
      <c r="D35" s="6">
        <f>공량산출근거서!K26</f>
        <v>1.6E-2</v>
      </c>
      <c r="E35" s="11">
        <f>단가대비표!O172</f>
        <v>0</v>
      </c>
      <c r="F35" s="10">
        <f t="shared" si="6"/>
        <v>0</v>
      </c>
      <c r="G35" s="11">
        <f>단가대비표!P172</f>
        <v>414968</v>
      </c>
      <c r="H35" s="10">
        <f t="shared" si="7"/>
        <v>6639.48</v>
      </c>
      <c r="I35" s="11">
        <f>단가대비표!V172</f>
        <v>0</v>
      </c>
      <c r="J35" s="10">
        <f t="shared" si="8"/>
        <v>0</v>
      </c>
      <c r="K35" s="11">
        <f t="shared" si="9"/>
        <v>414968</v>
      </c>
      <c r="L35" s="10">
        <f t="shared" si="9"/>
        <v>6639.48</v>
      </c>
      <c r="M35" s="5" t="s">
        <v>51</v>
      </c>
      <c r="N35" s="1" t="s">
        <v>94</v>
      </c>
      <c r="O35" s="1" t="s">
        <v>756</v>
      </c>
      <c r="P35" s="1" t="s">
        <v>60</v>
      </c>
      <c r="Q35" s="1" t="s">
        <v>60</v>
      </c>
      <c r="R35" s="1" t="s">
        <v>61</v>
      </c>
      <c r="X35">
        <v>3</v>
      </c>
      <c r="AV35" s="1" t="s">
        <v>51</v>
      </c>
      <c r="AW35" s="1" t="s">
        <v>789</v>
      </c>
      <c r="AX35" s="1" t="s">
        <v>51</v>
      </c>
      <c r="AY35" s="1" t="s">
        <v>51</v>
      </c>
    </row>
    <row r="36" spans="1:51" ht="30" customHeight="1" x14ac:dyDescent="0.3">
      <c r="A36" s="5" t="s">
        <v>758</v>
      </c>
      <c r="B36" s="5" t="s">
        <v>759</v>
      </c>
      <c r="C36" s="5" t="s">
        <v>631</v>
      </c>
      <c r="D36" s="6">
        <v>1</v>
      </c>
      <c r="E36" s="11">
        <f>TRUNC(SUMIF(X30:X36, RIGHTB(O36, 1), H30:H36)*U36, 2)</f>
        <v>446.96</v>
      </c>
      <c r="F36" s="10">
        <f t="shared" si="6"/>
        <v>446.96</v>
      </c>
      <c r="G36" s="11">
        <v>0</v>
      </c>
      <c r="H36" s="10">
        <f t="shared" si="7"/>
        <v>0</v>
      </c>
      <c r="I36" s="11">
        <v>0</v>
      </c>
      <c r="J36" s="10">
        <f t="shared" si="8"/>
        <v>0</v>
      </c>
      <c r="K36" s="11">
        <f t="shared" si="9"/>
        <v>446.96</v>
      </c>
      <c r="L36" s="10">
        <f t="shared" si="9"/>
        <v>446.96</v>
      </c>
      <c r="M36" s="5" t="s">
        <v>51</v>
      </c>
      <c r="N36" s="1" t="s">
        <v>94</v>
      </c>
      <c r="O36" s="1" t="s">
        <v>760</v>
      </c>
      <c r="P36" s="1" t="s">
        <v>60</v>
      </c>
      <c r="Q36" s="1" t="s">
        <v>60</v>
      </c>
      <c r="R36" s="1" t="s">
        <v>60</v>
      </c>
      <c r="S36">
        <v>1</v>
      </c>
      <c r="T36">
        <v>0</v>
      </c>
      <c r="U36">
        <v>0.03</v>
      </c>
      <c r="AV36" s="1" t="s">
        <v>51</v>
      </c>
      <c r="AW36" s="1" t="s">
        <v>790</v>
      </c>
      <c r="AX36" s="1" t="s">
        <v>51</v>
      </c>
      <c r="AY36" s="1" t="s">
        <v>51</v>
      </c>
    </row>
    <row r="37" spans="1:51" ht="30" customHeight="1" x14ac:dyDescent="0.3">
      <c r="A37" s="5" t="s">
        <v>762</v>
      </c>
      <c r="B37" s="5" t="s">
        <v>51</v>
      </c>
      <c r="C37" s="5" t="s">
        <v>51</v>
      </c>
      <c r="D37" s="6"/>
      <c r="E37" s="11"/>
      <c r="F37" s="10">
        <f>TRUNC(SUMIF(N30:N36, N29, F30:F36),0)</f>
        <v>3802</v>
      </c>
      <c r="G37" s="11"/>
      <c r="H37" s="10">
        <f>TRUNC(SUMIF(N30:N36, N29, H30:H36),0)</f>
        <v>14898</v>
      </c>
      <c r="I37" s="11"/>
      <c r="J37" s="10">
        <f>TRUNC(SUMIF(N30:N36, N29, J30:J36),0)</f>
        <v>0</v>
      </c>
      <c r="K37" s="11"/>
      <c r="L37" s="10">
        <f>F37+H37+J37</f>
        <v>18700</v>
      </c>
      <c r="M37" s="5" t="s">
        <v>51</v>
      </c>
      <c r="N37" s="1" t="s">
        <v>208</v>
      </c>
      <c r="O37" s="1" t="s">
        <v>208</v>
      </c>
      <c r="P37" s="1" t="s">
        <v>51</v>
      </c>
      <c r="Q37" s="1" t="s">
        <v>51</v>
      </c>
      <c r="R37" s="1" t="s">
        <v>51</v>
      </c>
      <c r="AV37" s="1" t="s">
        <v>51</v>
      </c>
      <c r="AW37" s="1" t="s">
        <v>51</v>
      </c>
      <c r="AX37" s="1" t="s">
        <v>51</v>
      </c>
      <c r="AY37" s="1" t="s">
        <v>51</v>
      </c>
    </row>
    <row r="38" spans="1:51" ht="30" customHeight="1" x14ac:dyDescent="0.3">
      <c r="A38" s="6"/>
      <c r="B38" s="6"/>
      <c r="C38" s="6"/>
      <c r="D38" s="6"/>
      <c r="E38" s="11"/>
      <c r="F38" s="10"/>
      <c r="G38" s="11"/>
      <c r="H38" s="10"/>
      <c r="I38" s="11"/>
      <c r="J38" s="10"/>
      <c r="K38" s="11"/>
      <c r="L38" s="10"/>
      <c r="M38" s="6"/>
    </row>
    <row r="39" spans="1:51" ht="30" customHeight="1" x14ac:dyDescent="0.3">
      <c r="A39" s="37" t="s">
        <v>791</v>
      </c>
      <c r="B39" s="37"/>
      <c r="C39" s="37"/>
      <c r="D39" s="37"/>
      <c r="E39" s="38"/>
      <c r="F39" s="39"/>
      <c r="G39" s="38"/>
      <c r="H39" s="39"/>
      <c r="I39" s="38"/>
      <c r="J39" s="39"/>
      <c r="K39" s="38"/>
      <c r="L39" s="39"/>
      <c r="M39" s="37"/>
      <c r="N39" s="1" t="s">
        <v>99</v>
      </c>
    </row>
    <row r="40" spans="1:51" ht="30" customHeight="1" x14ac:dyDescent="0.3">
      <c r="A40" s="5" t="s">
        <v>792</v>
      </c>
      <c r="B40" s="5" t="s">
        <v>793</v>
      </c>
      <c r="C40" s="5" t="s">
        <v>58</v>
      </c>
      <c r="D40" s="6">
        <v>1</v>
      </c>
      <c r="E40" s="11">
        <f>단가대비표!O147</f>
        <v>25049</v>
      </c>
      <c r="F40" s="10">
        <f t="shared" ref="F40:F46" si="10">TRUNC(E40*D40,2)</f>
        <v>25049</v>
      </c>
      <c r="G40" s="11">
        <f>단가대비표!P147</f>
        <v>0</v>
      </c>
      <c r="H40" s="10">
        <f t="shared" ref="H40:H46" si="11">TRUNC(G40*D40,2)</f>
        <v>0</v>
      </c>
      <c r="I40" s="11">
        <f>단가대비표!V147</f>
        <v>0</v>
      </c>
      <c r="J40" s="10">
        <f t="shared" ref="J40:J46" si="12">TRUNC(I40*D40,2)</f>
        <v>0</v>
      </c>
      <c r="K40" s="11">
        <f t="shared" ref="K40:L46" si="13">TRUNC(E40+G40+I40,2)</f>
        <v>25049</v>
      </c>
      <c r="L40" s="10">
        <f t="shared" si="13"/>
        <v>25049</v>
      </c>
      <c r="M40" s="5" t="s">
        <v>51</v>
      </c>
      <c r="N40" s="1" t="s">
        <v>99</v>
      </c>
      <c r="O40" s="1" t="s">
        <v>794</v>
      </c>
      <c r="P40" s="1" t="s">
        <v>60</v>
      </c>
      <c r="Q40" s="1" t="s">
        <v>60</v>
      </c>
      <c r="R40" s="1" t="s">
        <v>61</v>
      </c>
      <c r="AV40" s="1" t="s">
        <v>51</v>
      </c>
      <c r="AW40" s="1" t="s">
        <v>795</v>
      </c>
      <c r="AX40" s="1" t="s">
        <v>51</v>
      </c>
      <c r="AY40" s="1" t="s">
        <v>51</v>
      </c>
    </row>
    <row r="41" spans="1:51" ht="30" customHeight="1" x14ac:dyDescent="0.3">
      <c r="A41" s="5" t="s">
        <v>796</v>
      </c>
      <c r="B41" s="5" t="s">
        <v>797</v>
      </c>
      <c r="C41" s="5" t="s">
        <v>58</v>
      </c>
      <c r="D41" s="6">
        <v>1</v>
      </c>
      <c r="E41" s="11">
        <f>단가대비표!O153</f>
        <v>5415</v>
      </c>
      <c r="F41" s="10">
        <f t="shared" si="10"/>
        <v>5415</v>
      </c>
      <c r="G41" s="11">
        <f>단가대비표!P153</f>
        <v>0</v>
      </c>
      <c r="H41" s="10">
        <f t="shared" si="11"/>
        <v>0</v>
      </c>
      <c r="I41" s="11">
        <f>단가대비표!V153</f>
        <v>0</v>
      </c>
      <c r="J41" s="10">
        <f t="shared" si="12"/>
        <v>0</v>
      </c>
      <c r="K41" s="11">
        <f t="shared" si="13"/>
        <v>5415</v>
      </c>
      <c r="L41" s="10">
        <f t="shared" si="13"/>
        <v>5415</v>
      </c>
      <c r="M41" s="5" t="s">
        <v>51</v>
      </c>
      <c r="N41" s="1" t="s">
        <v>99</v>
      </c>
      <c r="O41" s="1" t="s">
        <v>798</v>
      </c>
      <c r="P41" s="1" t="s">
        <v>60</v>
      </c>
      <c r="Q41" s="1" t="s">
        <v>60</v>
      </c>
      <c r="R41" s="1" t="s">
        <v>61</v>
      </c>
      <c r="AV41" s="1" t="s">
        <v>51</v>
      </c>
      <c r="AW41" s="1" t="s">
        <v>799</v>
      </c>
      <c r="AX41" s="1" t="s">
        <v>51</v>
      </c>
      <c r="AY41" s="1" t="s">
        <v>51</v>
      </c>
    </row>
    <row r="42" spans="1:51" ht="30" customHeight="1" x14ac:dyDescent="0.3">
      <c r="A42" s="5" t="s">
        <v>800</v>
      </c>
      <c r="B42" s="5" t="s">
        <v>801</v>
      </c>
      <c r="C42" s="5" t="s">
        <v>58</v>
      </c>
      <c r="D42" s="6">
        <v>1</v>
      </c>
      <c r="E42" s="11">
        <f>단가대비표!O85</f>
        <v>30264</v>
      </c>
      <c r="F42" s="10">
        <f t="shared" si="10"/>
        <v>30264</v>
      </c>
      <c r="G42" s="11">
        <f>단가대비표!P85</f>
        <v>0</v>
      </c>
      <c r="H42" s="10">
        <f t="shared" si="11"/>
        <v>0</v>
      </c>
      <c r="I42" s="11">
        <f>단가대비표!V85</f>
        <v>0</v>
      </c>
      <c r="J42" s="10">
        <f t="shared" si="12"/>
        <v>0</v>
      </c>
      <c r="K42" s="11">
        <f t="shared" si="13"/>
        <v>30264</v>
      </c>
      <c r="L42" s="10">
        <f t="shared" si="13"/>
        <v>30264</v>
      </c>
      <c r="M42" s="5" t="s">
        <v>51</v>
      </c>
      <c r="N42" s="1" t="s">
        <v>99</v>
      </c>
      <c r="O42" s="1" t="s">
        <v>802</v>
      </c>
      <c r="P42" s="1" t="s">
        <v>60</v>
      </c>
      <c r="Q42" s="1" t="s">
        <v>60</v>
      </c>
      <c r="R42" s="1" t="s">
        <v>61</v>
      </c>
      <c r="AV42" s="1" t="s">
        <v>51</v>
      </c>
      <c r="AW42" s="1" t="s">
        <v>803</v>
      </c>
      <c r="AX42" s="1" t="s">
        <v>51</v>
      </c>
      <c r="AY42" s="1" t="s">
        <v>51</v>
      </c>
    </row>
    <row r="43" spans="1:51" ht="30" customHeight="1" x14ac:dyDescent="0.3">
      <c r="A43" s="5" t="s">
        <v>800</v>
      </c>
      <c r="B43" s="5" t="s">
        <v>804</v>
      </c>
      <c r="C43" s="5" t="s">
        <v>58</v>
      </c>
      <c r="D43" s="6">
        <v>1</v>
      </c>
      <c r="E43" s="11">
        <f>단가대비표!O86</f>
        <v>2470</v>
      </c>
      <c r="F43" s="10">
        <f t="shared" si="10"/>
        <v>2470</v>
      </c>
      <c r="G43" s="11">
        <f>단가대비표!P86</f>
        <v>0</v>
      </c>
      <c r="H43" s="10">
        <f t="shared" si="11"/>
        <v>0</v>
      </c>
      <c r="I43" s="11">
        <f>단가대비표!V86</f>
        <v>0</v>
      </c>
      <c r="J43" s="10">
        <f t="shared" si="12"/>
        <v>0</v>
      </c>
      <c r="K43" s="11">
        <f t="shared" si="13"/>
        <v>2470</v>
      </c>
      <c r="L43" s="10">
        <f t="shared" si="13"/>
        <v>2470</v>
      </c>
      <c r="M43" s="5" t="s">
        <v>51</v>
      </c>
      <c r="N43" s="1" t="s">
        <v>99</v>
      </c>
      <c r="O43" s="1" t="s">
        <v>805</v>
      </c>
      <c r="P43" s="1" t="s">
        <v>60</v>
      </c>
      <c r="Q43" s="1" t="s">
        <v>60</v>
      </c>
      <c r="R43" s="1" t="s">
        <v>61</v>
      </c>
      <c r="AV43" s="1" t="s">
        <v>51</v>
      </c>
      <c r="AW43" s="1" t="s">
        <v>806</v>
      </c>
      <c r="AX43" s="1" t="s">
        <v>51</v>
      </c>
      <c r="AY43" s="1" t="s">
        <v>51</v>
      </c>
    </row>
    <row r="44" spans="1:51" ht="30" customHeight="1" x14ac:dyDescent="0.3">
      <c r="A44" s="5" t="s">
        <v>750</v>
      </c>
      <c r="B44" s="5" t="s">
        <v>751</v>
      </c>
      <c r="C44" s="5" t="s">
        <v>752</v>
      </c>
      <c r="D44" s="6">
        <f>공량산출근거서!K30</f>
        <v>0.1188</v>
      </c>
      <c r="E44" s="11">
        <f>단가대비표!O162</f>
        <v>0</v>
      </c>
      <c r="F44" s="10">
        <f t="shared" si="10"/>
        <v>0</v>
      </c>
      <c r="G44" s="11">
        <f>단가대비표!P162</f>
        <v>172068</v>
      </c>
      <c r="H44" s="10">
        <f t="shared" si="11"/>
        <v>20441.669999999998</v>
      </c>
      <c r="I44" s="11">
        <f>단가대비표!V162</f>
        <v>0</v>
      </c>
      <c r="J44" s="10">
        <f t="shared" si="12"/>
        <v>0</v>
      </c>
      <c r="K44" s="11">
        <f t="shared" si="13"/>
        <v>172068</v>
      </c>
      <c r="L44" s="10">
        <f t="shared" si="13"/>
        <v>20441.669999999998</v>
      </c>
      <c r="M44" s="5" t="s">
        <v>51</v>
      </c>
      <c r="N44" s="1" t="s">
        <v>99</v>
      </c>
      <c r="O44" s="1" t="s">
        <v>753</v>
      </c>
      <c r="P44" s="1" t="s">
        <v>60</v>
      </c>
      <c r="Q44" s="1" t="s">
        <v>60</v>
      </c>
      <c r="R44" s="1" t="s">
        <v>61</v>
      </c>
      <c r="V44">
        <v>1</v>
      </c>
      <c r="AV44" s="1" t="s">
        <v>51</v>
      </c>
      <c r="AW44" s="1" t="s">
        <v>807</v>
      </c>
      <c r="AX44" s="1" t="s">
        <v>51</v>
      </c>
      <c r="AY44" s="1" t="s">
        <v>51</v>
      </c>
    </row>
    <row r="45" spans="1:51" ht="30" customHeight="1" x14ac:dyDescent="0.3">
      <c r="A45" s="5" t="s">
        <v>808</v>
      </c>
      <c r="B45" s="5" t="s">
        <v>751</v>
      </c>
      <c r="C45" s="5" t="s">
        <v>752</v>
      </c>
      <c r="D45" s="6">
        <f>공량산출근거서!K31</f>
        <v>0.1188</v>
      </c>
      <c r="E45" s="11">
        <f>단가대비표!O170</f>
        <v>0</v>
      </c>
      <c r="F45" s="10">
        <f t="shared" si="10"/>
        <v>0</v>
      </c>
      <c r="G45" s="11">
        <f>단가대비표!P170</f>
        <v>440616</v>
      </c>
      <c r="H45" s="10">
        <f t="shared" si="11"/>
        <v>52345.18</v>
      </c>
      <c r="I45" s="11">
        <f>단가대비표!V170</f>
        <v>0</v>
      </c>
      <c r="J45" s="10">
        <f t="shared" si="12"/>
        <v>0</v>
      </c>
      <c r="K45" s="11">
        <f t="shared" si="13"/>
        <v>440616</v>
      </c>
      <c r="L45" s="10">
        <f t="shared" si="13"/>
        <v>52345.18</v>
      </c>
      <c r="M45" s="5" t="s">
        <v>51</v>
      </c>
      <c r="N45" s="1" t="s">
        <v>99</v>
      </c>
      <c r="O45" s="1" t="s">
        <v>809</v>
      </c>
      <c r="P45" s="1" t="s">
        <v>60</v>
      </c>
      <c r="Q45" s="1" t="s">
        <v>60</v>
      </c>
      <c r="R45" s="1" t="s">
        <v>61</v>
      </c>
      <c r="V45">
        <v>1</v>
      </c>
      <c r="AV45" s="1" t="s">
        <v>51</v>
      </c>
      <c r="AW45" s="1" t="s">
        <v>810</v>
      </c>
      <c r="AX45" s="1" t="s">
        <v>51</v>
      </c>
      <c r="AY45" s="1" t="s">
        <v>51</v>
      </c>
    </row>
    <row r="46" spans="1:51" ht="30" customHeight="1" x14ac:dyDescent="0.3">
      <c r="A46" s="5" t="s">
        <v>758</v>
      </c>
      <c r="B46" s="5" t="s">
        <v>772</v>
      </c>
      <c r="C46" s="5" t="s">
        <v>631</v>
      </c>
      <c r="D46" s="6">
        <v>1</v>
      </c>
      <c r="E46" s="11">
        <f>TRUNC(SUMIF(V40:V46, RIGHTB(O46, 1), H40:H46)*U46, 2)</f>
        <v>2183.6</v>
      </c>
      <c r="F46" s="10">
        <f t="shared" si="10"/>
        <v>2183.6</v>
      </c>
      <c r="G46" s="11">
        <v>0</v>
      </c>
      <c r="H46" s="10">
        <f t="shared" si="11"/>
        <v>0</v>
      </c>
      <c r="I46" s="11">
        <v>0</v>
      </c>
      <c r="J46" s="10">
        <f t="shared" si="12"/>
        <v>0</v>
      </c>
      <c r="K46" s="11">
        <f t="shared" si="13"/>
        <v>2183.6</v>
      </c>
      <c r="L46" s="10">
        <f t="shared" si="13"/>
        <v>2183.6</v>
      </c>
      <c r="M46" s="5" t="s">
        <v>51</v>
      </c>
      <c r="N46" s="1" t="s">
        <v>99</v>
      </c>
      <c r="O46" s="1" t="s">
        <v>657</v>
      </c>
      <c r="P46" s="1" t="s">
        <v>60</v>
      </c>
      <c r="Q46" s="1" t="s">
        <v>60</v>
      </c>
      <c r="R46" s="1" t="s">
        <v>60</v>
      </c>
      <c r="S46">
        <v>1</v>
      </c>
      <c r="T46">
        <v>0</v>
      </c>
      <c r="U46">
        <v>0.03</v>
      </c>
      <c r="AV46" s="1" t="s">
        <v>51</v>
      </c>
      <c r="AW46" s="1" t="s">
        <v>811</v>
      </c>
      <c r="AX46" s="1" t="s">
        <v>51</v>
      </c>
      <c r="AY46" s="1" t="s">
        <v>51</v>
      </c>
    </row>
    <row r="47" spans="1:51" ht="30" customHeight="1" x14ac:dyDescent="0.3">
      <c r="A47" s="5" t="s">
        <v>762</v>
      </c>
      <c r="B47" s="5" t="s">
        <v>51</v>
      </c>
      <c r="C47" s="5" t="s">
        <v>51</v>
      </c>
      <c r="D47" s="6"/>
      <c r="E47" s="11"/>
      <c r="F47" s="10">
        <f>TRUNC(SUMIF(N40:N46, N39, F40:F46),0)</f>
        <v>65381</v>
      </c>
      <c r="G47" s="11"/>
      <c r="H47" s="10">
        <f>TRUNC(SUMIF(N40:N46, N39, H40:H46),0)</f>
        <v>72786</v>
      </c>
      <c r="I47" s="11"/>
      <c r="J47" s="10">
        <f>TRUNC(SUMIF(N40:N46, N39, J40:J46),0)</f>
        <v>0</v>
      </c>
      <c r="K47" s="11"/>
      <c r="L47" s="10">
        <f>F47+H47+J47</f>
        <v>138167</v>
      </c>
      <c r="M47" s="5" t="s">
        <v>51</v>
      </c>
      <c r="N47" s="1" t="s">
        <v>208</v>
      </c>
      <c r="O47" s="1" t="s">
        <v>208</v>
      </c>
      <c r="P47" s="1" t="s">
        <v>51</v>
      </c>
      <c r="Q47" s="1" t="s">
        <v>51</v>
      </c>
      <c r="R47" s="1" t="s">
        <v>51</v>
      </c>
      <c r="AV47" s="1" t="s">
        <v>51</v>
      </c>
      <c r="AW47" s="1" t="s">
        <v>51</v>
      </c>
      <c r="AX47" s="1" t="s">
        <v>51</v>
      </c>
      <c r="AY47" s="1" t="s">
        <v>51</v>
      </c>
    </row>
    <row r="48" spans="1:51" ht="30" customHeight="1" x14ac:dyDescent="0.3">
      <c r="A48" s="6"/>
      <c r="B48" s="6"/>
      <c r="C48" s="6"/>
      <c r="D48" s="6"/>
      <c r="E48" s="11"/>
      <c r="F48" s="10"/>
      <c r="G48" s="11"/>
      <c r="H48" s="10"/>
      <c r="I48" s="11"/>
      <c r="J48" s="10"/>
      <c r="K48" s="11"/>
      <c r="L48" s="10"/>
      <c r="M48" s="6"/>
    </row>
    <row r="49" spans="1:51" ht="30" customHeight="1" x14ac:dyDescent="0.3">
      <c r="A49" s="37" t="s">
        <v>812</v>
      </c>
      <c r="B49" s="37"/>
      <c r="C49" s="37"/>
      <c r="D49" s="37"/>
      <c r="E49" s="38"/>
      <c r="F49" s="39"/>
      <c r="G49" s="38"/>
      <c r="H49" s="39"/>
      <c r="I49" s="38"/>
      <c r="J49" s="39"/>
      <c r="K49" s="38"/>
      <c r="L49" s="39"/>
      <c r="M49" s="37"/>
      <c r="N49" s="1" t="s">
        <v>104</v>
      </c>
    </row>
    <row r="50" spans="1:51" ht="30" customHeight="1" x14ac:dyDescent="0.3">
      <c r="A50" s="5" t="s">
        <v>813</v>
      </c>
      <c r="B50" s="5" t="s">
        <v>814</v>
      </c>
      <c r="C50" s="5" t="s">
        <v>124</v>
      </c>
      <c r="D50" s="6">
        <v>16.100000000000001</v>
      </c>
      <c r="E50" s="11">
        <f>일위대가목록!E88</f>
        <v>318</v>
      </c>
      <c r="F50" s="10">
        <f t="shared" ref="F50:F68" si="14">TRUNC(E50*D50,2)</f>
        <v>5119.8</v>
      </c>
      <c r="G50" s="11">
        <f>일위대가목록!F88</f>
        <v>7715</v>
      </c>
      <c r="H50" s="10">
        <f t="shared" ref="H50:H68" si="15">TRUNC(G50*D50,2)</f>
        <v>124211.5</v>
      </c>
      <c r="I50" s="11">
        <f>일위대가목록!G88</f>
        <v>267</v>
      </c>
      <c r="J50" s="10">
        <f t="shared" ref="J50:J68" si="16">TRUNC(I50*D50,2)</f>
        <v>4298.7</v>
      </c>
      <c r="K50" s="11">
        <f t="shared" ref="K50:K68" si="17">TRUNC(E50+G50+I50,2)</f>
        <v>8300</v>
      </c>
      <c r="L50" s="10">
        <f t="shared" ref="L50:L68" si="18">TRUNC(F50+H50+J50,2)</f>
        <v>133630</v>
      </c>
      <c r="M50" s="5" t="s">
        <v>815</v>
      </c>
      <c r="N50" s="1" t="s">
        <v>104</v>
      </c>
      <c r="O50" s="1" t="s">
        <v>816</v>
      </c>
      <c r="P50" s="1" t="s">
        <v>61</v>
      </c>
      <c r="Q50" s="1" t="s">
        <v>60</v>
      </c>
      <c r="R50" s="1" t="s">
        <v>60</v>
      </c>
      <c r="AV50" s="1" t="s">
        <v>51</v>
      </c>
      <c r="AW50" s="1" t="s">
        <v>817</v>
      </c>
      <c r="AX50" s="1" t="s">
        <v>51</v>
      </c>
      <c r="AY50" s="1" t="s">
        <v>51</v>
      </c>
    </row>
    <row r="51" spans="1:51" ht="30" customHeight="1" x14ac:dyDescent="0.3">
      <c r="A51" s="5" t="s">
        <v>818</v>
      </c>
      <c r="B51" s="5" t="s">
        <v>819</v>
      </c>
      <c r="C51" s="5" t="s">
        <v>124</v>
      </c>
      <c r="D51" s="6">
        <v>6.524</v>
      </c>
      <c r="E51" s="11">
        <f>일위대가목록!E89</f>
        <v>0</v>
      </c>
      <c r="F51" s="10">
        <f t="shared" si="14"/>
        <v>0</v>
      </c>
      <c r="G51" s="11">
        <f>일위대가목록!F89</f>
        <v>17206</v>
      </c>
      <c r="H51" s="10">
        <f t="shared" si="15"/>
        <v>112251.94</v>
      </c>
      <c r="I51" s="11">
        <f>일위대가목록!G89</f>
        <v>0</v>
      </c>
      <c r="J51" s="10">
        <f t="shared" si="16"/>
        <v>0</v>
      </c>
      <c r="K51" s="11">
        <f t="shared" si="17"/>
        <v>17206</v>
      </c>
      <c r="L51" s="10">
        <f t="shared" si="18"/>
        <v>112251.94</v>
      </c>
      <c r="M51" s="5" t="s">
        <v>820</v>
      </c>
      <c r="N51" s="1" t="s">
        <v>104</v>
      </c>
      <c r="O51" s="1" t="s">
        <v>821</v>
      </c>
      <c r="P51" s="1" t="s">
        <v>61</v>
      </c>
      <c r="Q51" s="1" t="s">
        <v>60</v>
      </c>
      <c r="R51" s="1" t="s">
        <v>60</v>
      </c>
      <c r="AV51" s="1" t="s">
        <v>51</v>
      </c>
      <c r="AW51" s="1" t="s">
        <v>822</v>
      </c>
      <c r="AX51" s="1" t="s">
        <v>51</v>
      </c>
      <c r="AY51" s="1" t="s">
        <v>51</v>
      </c>
    </row>
    <row r="52" spans="1:51" ht="30" customHeight="1" x14ac:dyDescent="0.3">
      <c r="A52" s="5" t="s">
        <v>823</v>
      </c>
      <c r="B52" s="5" t="s">
        <v>824</v>
      </c>
      <c r="C52" s="5" t="s">
        <v>124</v>
      </c>
      <c r="D52" s="6">
        <v>9.5760000000000005</v>
      </c>
      <c r="E52" s="11">
        <f>일위대가목록!E90</f>
        <v>0</v>
      </c>
      <c r="F52" s="10">
        <f t="shared" si="14"/>
        <v>0</v>
      </c>
      <c r="G52" s="11">
        <f>일위대가목록!F90</f>
        <v>34413</v>
      </c>
      <c r="H52" s="10">
        <f t="shared" si="15"/>
        <v>329538.88</v>
      </c>
      <c r="I52" s="11">
        <f>일위대가목록!G90</f>
        <v>0</v>
      </c>
      <c r="J52" s="10">
        <f t="shared" si="16"/>
        <v>0</v>
      </c>
      <c r="K52" s="11">
        <f t="shared" si="17"/>
        <v>34413</v>
      </c>
      <c r="L52" s="10">
        <f t="shared" si="18"/>
        <v>329538.88</v>
      </c>
      <c r="M52" s="5" t="s">
        <v>825</v>
      </c>
      <c r="N52" s="1" t="s">
        <v>104</v>
      </c>
      <c r="O52" s="1" t="s">
        <v>826</v>
      </c>
      <c r="P52" s="1" t="s">
        <v>61</v>
      </c>
      <c r="Q52" s="1" t="s">
        <v>60</v>
      </c>
      <c r="R52" s="1" t="s">
        <v>60</v>
      </c>
      <c r="AV52" s="1" t="s">
        <v>51</v>
      </c>
      <c r="AW52" s="1" t="s">
        <v>827</v>
      </c>
      <c r="AX52" s="1" t="s">
        <v>51</v>
      </c>
      <c r="AY52" s="1" t="s">
        <v>51</v>
      </c>
    </row>
    <row r="53" spans="1:51" ht="30" customHeight="1" x14ac:dyDescent="0.3">
      <c r="A53" s="5" t="s">
        <v>828</v>
      </c>
      <c r="B53" s="5" t="s">
        <v>829</v>
      </c>
      <c r="C53" s="5" t="s">
        <v>124</v>
      </c>
      <c r="D53" s="6">
        <v>0.91200000000000003</v>
      </c>
      <c r="E53" s="11">
        <f>일위대가목록!E91</f>
        <v>35685</v>
      </c>
      <c r="F53" s="10">
        <f t="shared" si="14"/>
        <v>32544.720000000001</v>
      </c>
      <c r="G53" s="11">
        <f>일위대가목록!F91</f>
        <v>189274</v>
      </c>
      <c r="H53" s="10">
        <f t="shared" si="15"/>
        <v>172617.88</v>
      </c>
      <c r="I53" s="11">
        <f>일위대가목록!G91</f>
        <v>0</v>
      </c>
      <c r="J53" s="10">
        <f t="shared" si="16"/>
        <v>0</v>
      </c>
      <c r="K53" s="11">
        <f t="shared" si="17"/>
        <v>224959</v>
      </c>
      <c r="L53" s="10">
        <f t="shared" si="18"/>
        <v>205162.6</v>
      </c>
      <c r="M53" s="5" t="s">
        <v>830</v>
      </c>
      <c r="N53" s="1" t="s">
        <v>104</v>
      </c>
      <c r="O53" s="1" t="s">
        <v>831</v>
      </c>
      <c r="P53" s="1" t="s">
        <v>61</v>
      </c>
      <c r="Q53" s="1" t="s">
        <v>60</v>
      </c>
      <c r="R53" s="1" t="s">
        <v>60</v>
      </c>
      <c r="AV53" s="1" t="s">
        <v>51</v>
      </c>
      <c r="AW53" s="1" t="s">
        <v>832</v>
      </c>
      <c r="AX53" s="1" t="s">
        <v>51</v>
      </c>
      <c r="AY53" s="1" t="s">
        <v>51</v>
      </c>
    </row>
    <row r="54" spans="1:51" ht="30" customHeight="1" x14ac:dyDescent="0.3">
      <c r="A54" s="5" t="s">
        <v>833</v>
      </c>
      <c r="B54" s="5" t="s">
        <v>834</v>
      </c>
      <c r="C54" s="5" t="s">
        <v>835</v>
      </c>
      <c r="D54" s="6">
        <v>1</v>
      </c>
      <c r="E54" s="11">
        <f>단가대비표!O46</f>
        <v>370000</v>
      </c>
      <c r="F54" s="10">
        <f t="shared" si="14"/>
        <v>370000</v>
      </c>
      <c r="G54" s="11">
        <f>단가대비표!P46</f>
        <v>0</v>
      </c>
      <c r="H54" s="10">
        <f t="shared" si="15"/>
        <v>0</v>
      </c>
      <c r="I54" s="11">
        <f>단가대비표!V46</f>
        <v>0</v>
      </c>
      <c r="J54" s="10">
        <f t="shared" si="16"/>
        <v>0</v>
      </c>
      <c r="K54" s="11">
        <f t="shared" si="17"/>
        <v>370000</v>
      </c>
      <c r="L54" s="10">
        <f t="shared" si="18"/>
        <v>370000</v>
      </c>
      <c r="M54" s="5" t="s">
        <v>51</v>
      </c>
      <c r="N54" s="1" t="s">
        <v>104</v>
      </c>
      <c r="O54" s="1" t="s">
        <v>836</v>
      </c>
      <c r="P54" s="1" t="s">
        <v>60</v>
      </c>
      <c r="Q54" s="1" t="s">
        <v>60</v>
      </c>
      <c r="R54" s="1" t="s">
        <v>61</v>
      </c>
      <c r="AV54" s="1" t="s">
        <v>51</v>
      </c>
      <c r="AW54" s="1" t="s">
        <v>837</v>
      </c>
      <c r="AX54" s="1" t="s">
        <v>51</v>
      </c>
      <c r="AY54" s="1" t="s">
        <v>51</v>
      </c>
    </row>
    <row r="55" spans="1:51" ht="30" customHeight="1" x14ac:dyDescent="0.3">
      <c r="A55" s="5" t="s">
        <v>838</v>
      </c>
      <c r="B55" s="5" t="s">
        <v>839</v>
      </c>
      <c r="C55" s="5" t="s">
        <v>835</v>
      </c>
      <c r="D55" s="6">
        <v>1</v>
      </c>
      <c r="E55" s="11">
        <f>단가대비표!O45</f>
        <v>590000</v>
      </c>
      <c r="F55" s="10">
        <f t="shared" si="14"/>
        <v>590000</v>
      </c>
      <c r="G55" s="11">
        <f>단가대비표!P45</f>
        <v>0</v>
      </c>
      <c r="H55" s="10">
        <f t="shared" si="15"/>
        <v>0</v>
      </c>
      <c r="I55" s="11">
        <f>단가대비표!V45</f>
        <v>0</v>
      </c>
      <c r="J55" s="10">
        <f t="shared" si="16"/>
        <v>0</v>
      </c>
      <c r="K55" s="11">
        <f t="shared" si="17"/>
        <v>590000</v>
      </c>
      <c r="L55" s="10">
        <f t="shared" si="18"/>
        <v>590000</v>
      </c>
      <c r="M55" s="5" t="s">
        <v>51</v>
      </c>
      <c r="N55" s="1" t="s">
        <v>104</v>
      </c>
      <c r="O55" s="1" t="s">
        <v>840</v>
      </c>
      <c r="P55" s="1" t="s">
        <v>60</v>
      </c>
      <c r="Q55" s="1" t="s">
        <v>60</v>
      </c>
      <c r="R55" s="1" t="s">
        <v>61</v>
      </c>
      <c r="AV55" s="1" t="s">
        <v>51</v>
      </c>
      <c r="AW55" s="1" t="s">
        <v>841</v>
      </c>
      <c r="AX55" s="1" t="s">
        <v>51</v>
      </c>
      <c r="AY55" s="1" t="s">
        <v>51</v>
      </c>
    </row>
    <row r="56" spans="1:51" ht="30" customHeight="1" x14ac:dyDescent="0.3">
      <c r="A56" s="5" t="s">
        <v>842</v>
      </c>
      <c r="B56" s="5" t="s">
        <v>843</v>
      </c>
      <c r="C56" s="5" t="s">
        <v>58</v>
      </c>
      <c r="D56" s="6">
        <v>1</v>
      </c>
      <c r="E56" s="11">
        <f>단가대비표!O97</f>
        <v>3316</v>
      </c>
      <c r="F56" s="10">
        <f t="shared" si="14"/>
        <v>3316</v>
      </c>
      <c r="G56" s="11">
        <f>단가대비표!P97</f>
        <v>0</v>
      </c>
      <c r="H56" s="10">
        <f t="shared" si="15"/>
        <v>0</v>
      </c>
      <c r="I56" s="11">
        <f>단가대비표!V97</f>
        <v>0</v>
      </c>
      <c r="J56" s="10">
        <f t="shared" si="16"/>
        <v>0</v>
      </c>
      <c r="K56" s="11">
        <f t="shared" si="17"/>
        <v>3316</v>
      </c>
      <c r="L56" s="10">
        <f t="shared" si="18"/>
        <v>3316</v>
      </c>
      <c r="M56" s="5" t="s">
        <v>51</v>
      </c>
      <c r="N56" s="1" t="s">
        <v>104</v>
      </c>
      <c r="O56" s="1" t="s">
        <v>844</v>
      </c>
      <c r="P56" s="1" t="s">
        <v>60</v>
      </c>
      <c r="Q56" s="1" t="s">
        <v>60</v>
      </c>
      <c r="R56" s="1" t="s">
        <v>61</v>
      </c>
      <c r="AV56" s="1" t="s">
        <v>51</v>
      </c>
      <c r="AW56" s="1" t="s">
        <v>845</v>
      </c>
      <c r="AX56" s="1" t="s">
        <v>51</v>
      </c>
      <c r="AY56" s="1" t="s">
        <v>51</v>
      </c>
    </row>
    <row r="57" spans="1:51" ht="30" customHeight="1" x14ac:dyDescent="0.3">
      <c r="A57" s="5" t="s">
        <v>846</v>
      </c>
      <c r="B57" s="5" t="s">
        <v>847</v>
      </c>
      <c r="C57" s="5" t="s">
        <v>65</v>
      </c>
      <c r="D57" s="6">
        <v>5</v>
      </c>
      <c r="E57" s="11">
        <f>단가대비표!O20</f>
        <v>5377</v>
      </c>
      <c r="F57" s="10">
        <f t="shared" si="14"/>
        <v>26885</v>
      </c>
      <c r="G57" s="11">
        <f>단가대비표!P20</f>
        <v>0</v>
      </c>
      <c r="H57" s="10">
        <f t="shared" si="15"/>
        <v>0</v>
      </c>
      <c r="I57" s="11">
        <f>단가대비표!V20</f>
        <v>0</v>
      </c>
      <c r="J57" s="10">
        <f t="shared" si="16"/>
        <v>0</v>
      </c>
      <c r="K57" s="11">
        <f t="shared" si="17"/>
        <v>5377</v>
      </c>
      <c r="L57" s="10">
        <f t="shared" si="18"/>
        <v>26885</v>
      </c>
      <c r="M57" s="5" t="s">
        <v>51</v>
      </c>
      <c r="N57" s="1" t="s">
        <v>104</v>
      </c>
      <c r="O57" s="1" t="s">
        <v>848</v>
      </c>
      <c r="P57" s="1" t="s">
        <v>60</v>
      </c>
      <c r="Q57" s="1" t="s">
        <v>60</v>
      </c>
      <c r="R57" s="1" t="s">
        <v>61</v>
      </c>
      <c r="AV57" s="1" t="s">
        <v>51</v>
      </c>
      <c r="AW57" s="1" t="s">
        <v>849</v>
      </c>
      <c r="AX57" s="1" t="s">
        <v>51</v>
      </c>
      <c r="AY57" s="1" t="s">
        <v>51</v>
      </c>
    </row>
    <row r="58" spans="1:51" ht="30" customHeight="1" x14ac:dyDescent="0.3">
      <c r="A58" s="5" t="s">
        <v>850</v>
      </c>
      <c r="B58" s="5" t="s">
        <v>851</v>
      </c>
      <c r="C58" s="5" t="s">
        <v>58</v>
      </c>
      <c r="D58" s="6">
        <v>2</v>
      </c>
      <c r="E58" s="11">
        <f>단가대비표!O105</f>
        <v>0</v>
      </c>
      <c r="F58" s="10">
        <f t="shared" si="14"/>
        <v>0</v>
      </c>
      <c r="G58" s="11">
        <f>단가대비표!P105</f>
        <v>0</v>
      </c>
      <c r="H58" s="10">
        <f t="shared" si="15"/>
        <v>0</v>
      </c>
      <c r="I58" s="11">
        <f>단가대비표!V105</f>
        <v>0</v>
      </c>
      <c r="J58" s="10">
        <f t="shared" si="16"/>
        <v>0</v>
      </c>
      <c r="K58" s="11">
        <f t="shared" si="17"/>
        <v>0</v>
      </c>
      <c r="L58" s="10">
        <f t="shared" si="18"/>
        <v>0</v>
      </c>
      <c r="M58" s="5" t="s">
        <v>51</v>
      </c>
      <c r="N58" s="1" t="s">
        <v>104</v>
      </c>
      <c r="O58" s="1" t="s">
        <v>852</v>
      </c>
      <c r="P58" s="1" t="s">
        <v>60</v>
      </c>
      <c r="Q58" s="1" t="s">
        <v>60</v>
      </c>
      <c r="R58" s="1" t="s">
        <v>61</v>
      </c>
      <c r="AV58" s="1" t="s">
        <v>51</v>
      </c>
      <c r="AW58" s="1" t="s">
        <v>853</v>
      </c>
      <c r="AX58" s="1" t="s">
        <v>51</v>
      </c>
      <c r="AY58" s="1" t="s">
        <v>51</v>
      </c>
    </row>
    <row r="59" spans="1:51" ht="30" customHeight="1" x14ac:dyDescent="0.3">
      <c r="A59" s="5" t="s">
        <v>850</v>
      </c>
      <c r="B59" s="5" t="s">
        <v>854</v>
      </c>
      <c r="C59" s="5" t="s">
        <v>58</v>
      </c>
      <c r="D59" s="6">
        <v>2</v>
      </c>
      <c r="E59" s="11">
        <f>단가대비표!O104</f>
        <v>0</v>
      </c>
      <c r="F59" s="10">
        <f t="shared" si="14"/>
        <v>0</v>
      </c>
      <c r="G59" s="11">
        <f>단가대비표!P104</f>
        <v>0</v>
      </c>
      <c r="H59" s="10">
        <f t="shared" si="15"/>
        <v>0</v>
      </c>
      <c r="I59" s="11">
        <f>단가대비표!V104</f>
        <v>0</v>
      </c>
      <c r="J59" s="10">
        <f t="shared" si="16"/>
        <v>0</v>
      </c>
      <c r="K59" s="11">
        <f t="shared" si="17"/>
        <v>0</v>
      </c>
      <c r="L59" s="10">
        <f t="shared" si="18"/>
        <v>0</v>
      </c>
      <c r="M59" s="5" t="s">
        <v>51</v>
      </c>
      <c r="N59" s="1" t="s">
        <v>104</v>
      </c>
      <c r="O59" s="1" t="s">
        <v>855</v>
      </c>
      <c r="P59" s="1" t="s">
        <v>60</v>
      </c>
      <c r="Q59" s="1" t="s">
        <v>60</v>
      </c>
      <c r="R59" s="1" t="s">
        <v>61</v>
      </c>
      <c r="AV59" s="1" t="s">
        <v>51</v>
      </c>
      <c r="AW59" s="1" t="s">
        <v>856</v>
      </c>
      <c r="AX59" s="1" t="s">
        <v>51</v>
      </c>
      <c r="AY59" s="1" t="s">
        <v>51</v>
      </c>
    </row>
    <row r="60" spans="1:51" ht="30" customHeight="1" x14ac:dyDescent="0.3">
      <c r="A60" s="5" t="s">
        <v>775</v>
      </c>
      <c r="B60" s="5" t="s">
        <v>857</v>
      </c>
      <c r="C60" s="5" t="s">
        <v>58</v>
      </c>
      <c r="D60" s="6">
        <v>4</v>
      </c>
      <c r="E60" s="11">
        <f>단가대비표!O110</f>
        <v>0</v>
      </c>
      <c r="F60" s="10">
        <f t="shared" si="14"/>
        <v>0</v>
      </c>
      <c r="G60" s="11">
        <f>단가대비표!P110</f>
        <v>0</v>
      </c>
      <c r="H60" s="10">
        <f t="shared" si="15"/>
        <v>0</v>
      </c>
      <c r="I60" s="11">
        <f>단가대비표!V110</f>
        <v>0</v>
      </c>
      <c r="J60" s="10">
        <f t="shared" si="16"/>
        <v>0</v>
      </c>
      <c r="K60" s="11">
        <f t="shared" si="17"/>
        <v>0</v>
      </c>
      <c r="L60" s="10">
        <f t="shared" si="18"/>
        <v>0</v>
      </c>
      <c r="M60" s="5" t="s">
        <v>51</v>
      </c>
      <c r="N60" s="1" t="s">
        <v>104</v>
      </c>
      <c r="O60" s="1" t="s">
        <v>858</v>
      </c>
      <c r="P60" s="1" t="s">
        <v>60</v>
      </c>
      <c r="Q60" s="1" t="s">
        <v>60</v>
      </c>
      <c r="R60" s="1" t="s">
        <v>61</v>
      </c>
      <c r="AV60" s="1" t="s">
        <v>51</v>
      </c>
      <c r="AW60" s="1" t="s">
        <v>859</v>
      </c>
      <c r="AX60" s="1" t="s">
        <v>51</v>
      </c>
      <c r="AY60" s="1" t="s">
        <v>51</v>
      </c>
    </row>
    <row r="61" spans="1:51" ht="30" customHeight="1" x14ac:dyDescent="0.3">
      <c r="A61" s="5" t="s">
        <v>775</v>
      </c>
      <c r="B61" s="5" t="s">
        <v>860</v>
      </c>
      <c r="C61" s="5" t="s">
        <v>58</v>
      </c>
      <c r="D61" s="6">
        <v>4</v>
      </c>
      <c r="E61" s="11">
        <f>단가대비표!O109</f>
        <v>1300</v>
      </c>
      <c r="F61" s="10">
        <f t="shared" si="14"/>
        <v>5200</v>
      </c>
      <c r="G61" s="11">
        <f>단가대비표!P109</f>
        <v>0</v>
      </c>
      <c r="H61" s="10">
        <f t="shared" si="15"/>
        <v>0</v>
      </c>
      <c r="I61" s="11">
        <f>단가대비표!V109</f>
        <v>0</v>
      </c>
      <c r="J61" s="10">
        <f t="shared" si="16"/>
        <v>0</v>
      </c>
      <c r="K61" s="11">
        <f t="shared" si="17"/>
        <v>1300</v>
      </c>
      <c r="L61" s="10">
        <f t="shared" si="18"/>
        <v>5200</v>
      </c>
      <c r="M61" s="5" t="s">
        <v>51</v>
      </c>
      <c r="N61" s="1" t="s">
        <v>104</v>
      </c>
      <c r="O61" s="1" t="s">
        <v>861</v>
      </c>
      <c r="P61" s="1" t="s">
        <v>60</v>
      </c>
      <c r="Q61" s="1" t="s">
        <v>60</v>
      </c>
      <c r="R61" s="1" t="s">
        <v>61</v>
      </c>
      <c r="AV61" s="1" t="s">
        <v>51</v>
      </c>
      <c r="AW61" s="1" t="s">
        <v>862</v>
      </c>
      <c r="AX61" s="1" t="s">
        <v>51</v>
      </c>
      <c r="AY61" s="1" t="s">
        <v>51</v>
      </c>
    </row>
    <row r="62" spans="1:51" ht="30" customHeight="1" x14ac:dyDescent="0.3">
      <c r="A62" s="5" t="s">
        <v>769</v>
      </c>
      <c r="B62" s="5" t="s">
        <v>751</v>
      </c>
      <c r="C62" s="5" t="s">
        <v>752</v>
      </c>
      <c r="D62" s="6">
        <f>공량산출근거서!K37</f>
        <v>0.14499999999999999</v>
      </c>
      <c r="E62" s="11">
        <f>단가대비표!O169</f>
        <v>0</v>
      </c>
      <c r="F62" s="10">
        <f t="shared" si="14"/>
        <v>0</v>
      </c>
      <c r="G62" s="11">
        <f>단가대비표!P169</f>
        <v>273676</v>
      </c>
      <c r="H62" s="10">
        <f t="shared" si="15"/>
        <v>39683.019999999997</v>
      </c>
      <c r="I62" s="11">
        <f>단가대비표!V169</f>
        <v>0</v>
      </c>
      <c r="J62" s="10">
        <f t="shared" si="16"/>
        <v>0</v>
      </c>
      <c r="K62" s="11">
        <f t="shared" si="17"/>
        <v>273676</v>
      </c>
      <c r="L62" s="10">
        <f t="shared" si="18"/>
        <v>39683.019999999997</v>
      </c>
      <c r="M62" s="5" t="s">
        <v>51</v>
      </c>
      <c r="N62" s="1" t="s">
        <v>104</v>
      </c>
      <c r="O62" s="1" t="s">
        <v>770</v>
      </c>
      <c r="P62" s="1" t="s">
        <v>60</v>
      </c>
      <c r="Q62" s="1" t="s">
        <v>60</v>
      </c>
      <c r="R62" s="1" t="s">
        <v>61</v>
      </c>
      <c r="AV62" s="1" t="s">
        <v>51</v>
      </c>
      <c r="AW62" s="1" t="s">
        <v>863</v>
      </c>
      <c r="AX62" s="1" t="s">
        <v>51</v>
      </c>
      <c r="AY62" s="1" t="s">
        <v>51</v>
      </c>
    </row>
    <row r="63" spans="1:51" ht="30" customHeight="1" x14ac:dyDescent="0.3">
      <c r="A63" s="5" t="s">
        <v>750</v>
      </c>
      <c r="B63" s="5" t="s">
        <v>751</v>
      </c>
      <c r="C63" s="5" t="s">
        <v>752</v>
      </c>
      <c r="D63" s="6">
        <f>공량산출근거서!K36</f>
        <v>0.08</v>
      </c>
      <c r="E63" s="11">
        <f>단가대비표!O162</f>
        <v>0</v>
      </c>
      <c r="F63" s="10">
        <f t="shared" si="14"/>
        <v>0</v>
      </c>
      <c r="G63" s="11">
        <f>단가대비표!P162</f>
        <v>172068</v>
      </c>
      <c r="H63" s="10">
        <f t="shared" si="15"/>
        <v>13765.44</v>
      </c>
      <c r="I63" s="11">
        <f>단가대비표!V162</f>
        <v>0</v>
      </c>
      <c r="J63" s="10">
        <f t="shared" si="16"/>
        <v>0</v>
      </c>
      <c r="K63" s="11">
        <f t="shared" si="17"/>
        <v>172068</v>
      </c>
      <c r="L63" s="10">
        <f t="shared" si="18"/>
        <v>13765.44</v>
      </c>
      <c r="M63" s="5" t="s">
        <v>51</v>
      </c>
      <c r="N63" s="1" t="s">
        <v>104</v>
      </c>
      <c r="O63" s="1" t="s">
        <v>753</v>
      </c>
      <c r="P63" s="1" t="s">
        <v>60</v>
      </c>
      <c r="Q63" s="1" t="s">
        <v>60</v>
      </c>
      <c r="R63" s="1" t="s">
        <v>61</v>
      </c>
      <c r="AV63" s="1" t="s">
        <v>51</v>
      </c>
      <c r="AW63" s="1" t="s">
        <v>864</v>
      </c>
      <c r="AX63" s="1" t="s">
        <v>51</v>
      </c>
      <c r="AY63" s="1" t="s">
        <v>51</v>
      </c>
    </row>
    <row r="64" spans="1:51" ht="30" customHeight="1" x14ac:dyDescent="0.3">
      <c r="A64" s="5" t="s">
        <v>865</v>
      </c>
      <c r="B64" s="5" t="s">
        <v>751</v>
      </c>
      <c r="C64" s="5" t="s">
        <v>752</v>
      </c>
      <c r="D64" s="6">
        <v>0.45</v>
      </c>
      <c r="E64" s="11">
        <f>단가대비표!O171</f>
        <v>0</v>
      </c>
      <c r="F64" s="10">
        <f t="shared" si="14"/>
        <v>0</v>
      </c>
      <c r="G64" s="11">
        <f>단가대비표!P171</f>
        <v>304156</v>
      </c>
      <c r="H64" s="10">
        <f t="shared" si="15"/>
        <v>136870.20000000001</v>
      </c>
      <c r="I64" s="11">
        <f>단가대비표!V171</f>
        <v>0</v>
      </c>
      <c r="J64" s="10">
        <f t="shared" si="16"/>
        <v>0</v>
      </c>
      <c r="K64" s="11">
        <f t="shared" si="17"/>
        <v>304156</v>
      </c>
      <c r="L64" s="10">
        <f t="shared" si="18"/>
        <v>136870.20000000001</v>
      </c>
      <c r="M64" s="5" t="s">
        <v>51</v>
      </c>
      <c r="N64" s="1" t="s">
        <v>104</v>
      </c>
      <c r="O64" s="1" t="s">
        <v>866</v>
      </c>
      <c r="P64" s="1" t="s">
        <v>60</v>
      </c>
      <c r="Q64" s="1" t="s">
        <v>60</v>
      </c>
      <c r="R64" s="1" t="s">
        <v>61</v>
      </c>
      <c r="AV64" s="1" t="s">
        <v>51</v>
      </c>
      <c r="AW64" s="1" t="s">
        <v>867</v>
      </c>
      <c r="AX64" s="1" t="s">
        <v>51</v>
      </c>
      <c r="AY64" s="1" t="s">
        <v>51</v>
      </c>
    </row>
    <row r="65" spans="1:51" ht="30" customHeight="1" x14ac:dyDescent="0.3">
      <c r="A65" s="5" t="s">
        <v>868</v>
      </c>
      <c r="B65" s="5" t="s">
        <v>751</v>
      </c>
      <c r="C65" s="5" t="s">
        <v>752</v>
      </c>
      <c r="D65" s="6">
        <v>0.04</v>
      </c>
      <c r="E65" s="11">
        <f>단가대비표!O166</f>
        <v>0</v>
      </c>
      <c r="F65" s="10">
        <f t="shared" si="14"/>
        <v>0</v>
      </c>
      <c r="G65" s="11">
        <f>단가대비표!P166</f>
        <v>211653</v>
      </c>
      <c r="H65" s="10">
        <f t="shared" si="15"/>
        <v>8466.1200000000008</v>
      </c>
      <c r="I65" s="11">
        <f>단가대비표!V166</f>
        <v>0</v>
      </c>
      <c r="J65" s="10">
        <f t="shared" si="16"/>
        <v>0</v>
      </c>
      <c r="K65" s="11">
        <f t="shared" si="17"/>
        <v>211653</v>
      </c>
      <c r="L65" s="10">
        <f t="shared" si="18"/>
        <v>8466.1200000000008</v>
      </c>
      <c r="M65" s="5" t="s">
        <v>51</v>
      </c>
      <c r="N65" s="1" t="s">
        <v>104</v>
      </c>
      <c r="O65" s="1" t="s">
        <v>869</v>
      </c>
      <c r="P65" s="1" t="s">
        <v>60</v>
      </c>
      <c r="Q65" s="1" t="s">
        <v>60</v>
      </c>
      <c r="R65" s="1" t="s">
        <v>61</v>
      </c>
      <c r="AV65" s="1" t="s">
        <v>51</v>
      </c>
      <c r="AW65" s="1" t="s">
        <v>870</v>
      </c>
      <c r="AX65" s="1" t="s">
        <v>51</v>
      </c>
      <c r="AY65" s="1" t="s">
        <v>51</v>
      </c>
    </row>
    <row r="66" spans="1:51" ht="30" customHeight="1" x14ac:dyDescent="0.3">
      <c r="A66" s="5" t="s">
        <v>871</v>
      </c>
      <c r="B66" s="5" t="s">
        <v>751</v>
      </c>
      <c r="C66" s="5" t="s">
        <v>752</v>
      </c>
      <c r="D66" s="6">
        <v>0.06</v>
      </c>
      <c r="E66" s="11">
        <f>단가대비표!O164</f>
        <v>0</v>
      </c>
      <c r="F66" s="10">
        <f t="shared" si="14"/>
        <v>0</v>
      </c>
      <c r="G66" s="11">
        <f>단가대비표!P164</f>
        <v>239808</v>
      </c>
      <c r="H66" s="10">
        <f t="shared" si="15"/>
        <v>14388.48</v>
      </c>
      <c r="I66" s="11">
        <f>단가대비표!V164</f>
        <v>0</v>
      </c>
      <c r="J66" s="10">
        <f t="shared" si="16"/>
        <v>0</v>
      </c>
      <c r="K66" s="11">
        <f t="shared" si="17"/>
        <v>239808</v>
      </c>
      <c r="L66" s="10">
        <f t="shared" si="18"/>
        <v>14388.48</v>
      </c>
      <c r="M66" s="5" t="s">
        <v>51</v>
      </c>
      <c r="N66" s="1" t="s">
        <v>104</v>
      </c>
      <c r="O66" s="1" t="s">
        <v>872</v>
      </c>
      <c r="P66" s="1" t="s">
        <v>60</v>
      </c>
      <c r="Q66" s="1" t="s">
        <v>60</v>
      </c>
      <c r="R66" s="1" t="s">
        <v>61</v>
      </c>
      <c r="AV66" s="1" t="s">
        <v>51</v>
      </c>
      <c r="AW66" s="1" t="s">
        <v>873</v>
      </c>
      <c r="AX66" s="1" t="s">
        <v>51</v>
      </c>
      <c r="AY66" s="1" t="s">
        <v>51</v>
      </c>
    </row>
    <row r="67" spans="1:51" ht="30" customHeight="1" x14ac:dyDescent="0.3">
      <c r="A67" s="5" t="s">
        <v>874</v>
      </c>
      <c r="B67" s="5" t="s">
        <v>751</v>
      </c>
      <c r="C67" s="5" t="s">
        <v>752</v>
      </c>
      <c r="D67" s="6">
        <v>0.09</v>
      </c>
      <c r="E67" s="11">
        <f>단가대비표!O163</f>
        <v>0</v>
      </c>
      <c r="F67" s="10">
        <f t="shared" si="14"/>
        <v>0</v>
      </c>
      <c r="G67" s="11">
        <f>단가대비표!P163</f>
        <v>226122</v>
      </c>
      <c r="H67" s="10">
        <f t="shared" si="15"/>
        <v>20350.98</v>
      </c>
      <c r="I67" s="11">
        <f>단가대비표!V163</f>
        <v>0</v>
      </c>
      <c r="J67" s="10">
        <f t="shared" si="16"/>
        <v>0</v>
      </c>
      <c r="K67" s="11">
        <f t="shared" si="17"/>
        <v>226122</v>
      </c>
      <c r="L67" s="10">
        <f t="shared" si="18"/>
        <v>20350.98</v>
      </c>
      <c r="M67" s="5" t="s">
        <v>51</v>
      </c>
      <c r="N67" s="1" t="s">
        <v>104</v>
      </c>
      <c r="O67" s="1" t="s">
        <v>875</v>
      </c>
      <c r="P67" s="1" t="s">
        <v>60</v>
      </c>
      <c r="Q67" s="1" t="s">
        <v>60</v>
      </c>
      <c r="R67" s="1" t="s">
        <v>61</v>
      </c>
      <c r="AV67" s="1" t="s">
        <v>51</v>
      </c>
      <c r="AW67" s="1" t="s">
        <v>876</v>
      </c>
      <c r="AX67" s="1" t="s">
        <v>51</v>
      </c>
      <c r="AY67" s="1" t="s">
        <v>51</v>
      </c>
    </row>
    <row r="68" spans="1:51" ht="30" customHeight="1" x14ac:dyDescent="0.3">
      <c r="A68" s="5" t="s">
        <v>877</v>
      </c>
      <c r="B68" s="5" t="s">
        <v>878</v>
      </c>
      <c r="C68" s="5" t="s">
        <v>752</v>
      </c>
      <c r="D68" s="6">
        <v>2.98E-2</v>
      </c>
      <c r="E68" s="11">
        <f>단가대비표!O173</f>
        <v>0</v>
      </c>
      <c r="F68" s="10">
        <f t="shared" si="14"/>
        <v>0</v>
      </c>
      <c r="G68" s="11">
        <f>단가대비표!P173</f>
        <v>485075</v>
      </c>
      <c r="H68" s="10">
        <f t="shared" si="15"/>
        <v>14455.23</v>
      </c>
      <c r="I68" s="11">
        <f>단가대비표!V173</f>
        <v>0</v>
      </c>
      <c r="J68" s="10">
        <f t="shared" si="16"/>
        <v>0</v>
      </c>
      <c r="K68" s="11">
        <f t="shared" si="17"/>
        <v>485075</v>
      </c>
      <c r="L68" s="10">
        <f t="shared" si="18"/>
        <v>14455.23</v>
      </c>
      <c r="M68" s="5" t="s">
        <v>51</v>
      </c>
      <c r="N68" s="1" t="s">
        <v>104</v>
      </c>
      <c r="O68" s="1" t="s">
        <v>879</v>
      </c>
      <c r="P68" s="1" t="s">
        <v>60</v>
      </c>
      <c r="Q68" s="1" t="s">
        <v>60</v>
      </c>
      <c r="R68" s="1" t="s">
        <v>61</v>
      </c>
      <c r="AV68" s="1" t="s">
        <v>51</v>
      </c>
      <c r="AW68" s="1" t="s">
        <v>880</v>
      </c>
      <c r="AX68" s="1" t="s">
        <v>51</v>
      </c>
      <c r="AY68" s="1" t="s">
        <v>51</v>
      </c>
    </row>
    <row r="69" spans="1:51" ht="30" customHeight="1" x14ac:dyDescent="0.3">
      <c r="A69" s="5" t="s">
        <v>762</v>
      </c>
      <c r="B69" s="5" t="s">
        <v>51</v>
      </c>
      <c r="C69" s="5" t="s">
        <v>51</v>
      </c>
      <c r="D69" s="6"/>
      <c r="E69" s="11"/>
      <c r="F69" s="10">
        <f>TRUNC(SUMIF(N50:N68, N49, F50:F68),0)</f>
        <v>1033065</v>
      </c>
      <c r="G69" s="11"/>
      <c r="H69" s="10">
        <f>TRUNC(SUMIF(N50:N68, N49, H50:H68),0)</f>
        <v>986599</v>
      </c>
      <c r="I69" s="11"/>
      <c r="J69" s="10">
        <f>TRUNC(SUMIF(N50:N68, N49, J50:J68),0)</f>
        <v>4298</v>
      </c>
      <c r="K69" s="11"/>
      <c r="L69" s="10">
        <f>F69+H69+J69</f>
        <v>2023962</v>
      </c>
      <c r="M69" s="5" t="s">
        <v>51</v>
      </c>
      <c r="N69" s="1" t="s">
        <v>208</v>
      </c>
      <c r="O69" s="1" t="s">
        <v>208</v>
      </c>
      <c r="P69" s="1" t="s">
        <v>51</v>
      </c>
      <c r="Q69" s="1" t="s">
        <v>51</v>
      </c>
      <c r="R69" s="1" t="s">
        <v>51</v>
      </c>
      <c r="AV69" s="1" t="s">
        <v>51</v>
      </c>
      <c r="AW69" s="1" t="s">
        <v>51</v>
      </c>
      <c r="AX69" s="1" t="s">
        <v>51</v>
      </c>
      <c r="AY69" s="1" t="s">
        <v>51</v>
      </c>
    </row>
    <row r="70" spans="1:51" ht="30" customHeight="1" x14ac:dyDescent="0.3">
      <c r="A70" s="6"/>
      <c r="B70" s="6"/>
      <c r="C70" s="6"/>
      <c r="D70" s="6"/>
      <c r="E70" s="11"/>
      <c r="F70" s="10"/>
      <c r="G70" s="11"/>
      <c r="H70" s="10"/>
      <c r="I70" s="11"/>
      <c r="J70" s="10"/>
      <c r="K70" s="11"/>
      <c r="L70" s="10"/>
      <c r="M70" s="6"/>
    </row>
    <row r="71" spans="1:51" ht="30" customHeight="1" x14ac:dyDescent="0.3">
      <c r="A71" s="37" t="s">
        <v>881</v>
      </c>
      <c r="B71" s="37"/>
      <c r="C71" s="37"/>
      <c r="D71" s="37"/>
      <c r="E71" s="38"/>
      <c r="F71" s="39"/>
      <c r="G71" s="38"/>
      <c r="H71" s="39"/>
      <c r="I71" s="38"/>
      <c r="J71" s="39"/>
      <c r="K71" s="38"/>
      <c r="L71" s="39"/>
      <c r="M71" s="37"/>
      <c r="N71" s="1" t="s">
        <v>109</v>
      </c>
    </row>
    <row r="72" spans="1:51" ht="30" customHeight="1" x14ac:dyDescent="0.3">
      <c r="A72" s="5" t="s">
        <v>106</v>
      </c>
      <c r="B72" s="5" t="s">
        <v>882</v>
      </c>
      <c r="C72" s="5" t="s">
        <v>65</v>
      </c>
      <c r="D72" s="6">
        <v>1</v>
      </c>
      <c r="E72" s="11">
        <f>단가대비표!O35</f>
        <v>17478</v>
      </c>
      <c r="F72" s="10">
        <f t="shared" ref="F72:F77" si="19">TRUNC(E72*D72,2)</f>
        <v>17478</v>
      </c>
      <c r="G72" s="11">
        <f>단가대비표!P35</f>
        <v>0</v>
      </c>
      <c r="H72" s="10">
        <f t="shared" ref="H72:H77" si="20">TRUNC(G72*D72,2)</f>
        <v>0</v>
      </c>
      <c r="I72" s="11">
        <f>단가대비표!V35</f>
        <v>0</v>
      </c>
      <c r="J72" s="10">
        <f t="shared" ref="J72:J77" si="21">TRUNC(I72*D72,2)</f>
        <v>0</v>
      </c>
      <c r="K72" s="11">
        <f t="shared" ref="K72:L77" si="22">TRUNC(E72+G72+I72,2)</f>
        <v>17478</v>
      </c>
      <c r="L72" s="10">
        <f t="shared" si="22"/>
        <v>17478</v>
      </c>
      <c r="M72" s="5" t="s">
        <v>51</v>
      </c>
      <c r="N72" s="1" t="s">
        <v>109</v>
      </c>
      <c r="O72" s="1" t="s">
        <v>883</v>
      </c>
      <c r="P72" s="1" t="s">
        <v>60</v>
      </c>
      <c r="Q72" s="1" t="s">
        <v>60</v>
      </c>
      <c r="R72" s="1" t="s">
        <v>61</v>
      </c>
      <c r="V72">
        <v>1</v>
      </c>
      <c r="AV72" s="1" t="s">
        <v>51</v>
      </c>
      <c r="AW72" s="1" t="s">
        <v>884</v>
      </c>
      <c r="AX72" s="1" t="s">
        <v>51</v>
      </c>
      <c r="AY72" s="1" t="s">
        <v>51</v>
      </c>
    </row>
    <row r="73" spans="1:51" ht="30" customHeight="1" x14ac:dyDescent="0.3">
      <c r="A73" s="5" t="s">
        <v>106</v>
      </c>
      <c r="B73" s="5" t="s">
        <v>882</v>
      </c>
      <c r="C73" s="5" t="s">
        <v>65</v>
      </c>
      <c r="D73" s="6">
        <v>0.03</v>
      </c>
      <c r="E73" s="11">
        <f>단가대비표!O35</f>
        <v>17478</v>
      </c>
      <c r="F73" s="10">
        <f t="shared" si="19"/>
        <v>524.34</v>
      </c>
      <c r="G73" s="11">
        <f>단가대비표!P35</f>
        <v>0</v>
      </c>
      <c r="H73" s="10">
        <f t="shared" si="20"/>
        <v>0</v>
      </c>
      <c r="I73" s="11">
        <f>단가대비표!V35</f>
        <v>0</v>
      </c>
      <c r="J73" s="10">
        <f t="shared" si="21"/>
        <v>0</v>
      </c>
      <c r="K73" s="11">
        <f t="shared" si="22"/>
        <v>17478</v>
      </c>
      <c r="L73" s="10">
        <f t="shared" si="22"/>
        <v>524.34</v>
      </c>
      <c r="M73" s="5" t="s">
        <v>51</v>
      </c>
      <c r="N73" s="1" t="s">
        <v>109</v>
      </c>
      <c r="O73" s="1" t="s">
        <v>883</v>
      </c>
      <c r="P73" s="1" t="s">
        <v>60</v>
      </c>
      <c r="Q73" s="1" t="s">
        <v>60</v>
      </c>
      <c r="R73" s="1" t="s">
        <v>61</v>
      </c>
      <c r="AV73" s="1" t="s">
        <v>51</v>
      </c>
      <c r="AW73" s="1" t="s">
        <v>884</v>
      </c>
      <c r="AX73" s="1" t="s">
        <v>51</v>
      </c>
      <c r="AY73" s="1" t="s">
        <v>51</v>
      </c>
    </row>
    <row r="74" spans="1:51" ht="30" customHeight="1" x14ac:dyDescent="0.3">
      <c r="A74" s="5" t="s">
        <v>746</v>
      </c>
      <c r="B74" s="5" t="s">
        <v>786</v>
      </c>
      <c r="C74" s="5" t="s">
        <v>631</v>
      </c>
      <c r="D74" s="6">
        <v>1</v>
      </c>
      <c r="E74" s="11">
        <f>TRUNC(SUMIF(V72:V77, RIGHTB(O74, 1), F72:F77)*U74, 2)</f>
        <v>349.56</v>
      </c>
      <c r="F74" s="10">
        <f t="shared" si="19"/>
        <v>349.56</v>
      </c>
      <c r="G74" s="11">
        <v>0</v>
      </c>
      <c r="H74" s="10">
        <f t="shared" si="20"/>
        <v>0</v>
      </c>
      <c r="I74" s="11">
        <v>0</v>
      </c>
      <c r="J74" s="10">
        <f t="shared" si="21"/>
        <v>0</v>
      </c>
      <c r="K74" s="11">
        <f t="shared" si="22"/>
        <v>349.56</v>
      </c>
      <c r="L74" s="10">
        <f t="shared" si="22"/>
        <v>349.56</v>
      </c>
      <c r="M74" s="5" t="s">
        <v>51</v>
      </c>
      <c r="N74" s="1" t="s">
        <v>109</v>
      </c>
      <c r="O74" s="1" t="s">
        <v>657</v>
      </c>
      <c r="P74" s="1" t="s">
        <v>60</v>
      </c>
      <c r="Q74" s="1" t="s">
        <v>60</v>
      </c>
      <c r="R74" s="1" t="s">
        <v>60</v>
      </c>
      <c r="S74">
        <v>0</v>
      </c>
      <c r="T74">
        <v>0</v>
      </c>
      <c r="U74">
        <v>0.02</v>
      </c>
      <c r="AV74" s="1" t="s">
        <v>51</v>
      </c>
      <c r="AW74" s="1" t="s">
        <v>885</v>
      </c>
      <c r="AX74" s="1" t="s">
        <v>51</v>
      </c>
      <c r="AY74" s="1" t="s">
        <v>51</v>
      </c>
    </row>
    <row r="75" spans="1:51" ht="30" customHeight="1" x14ac:dyDescent="0.3">
      <c r="A75" s="5" t="s">
        <v>808</v>
      </c>
      <c r="B75" s="5" t="s">
        <v>751</v>
      </c>
      <c r="C75" s="5" t="s">
        <v>752</v>
      </c>
      <c r="D75" s="6">
        <f>공량산출근거서!K44</f>
        <v>7.4000000000000003E-3</v>
      </c>
      <c r="E75" s="11">
        <f>단가대비표!O170</f>
        <v>0</v>
      </c>
      <c r="F75" s="10">
        <f t="shared" si="19"/>
        <v>0</v>
      </c>
      <c r="G75" s="11">
        <f>단가대비표!P170</f>
        <v>440616</v>
      </c>
      <c r="H75" s="10">
        <f t="shared" si="20"/>
        <v>3260.55</v>
      </c>
      <c r="I75" s="11">
        <f>단가대비표!V170</f>
        <v>0</v>
      </c>
      <c r="J75" s="10">
        <f t="shared" si="21"/>
        <v>0</v>
      </c>
      <c r="K75" s="11">
        <f t="shared" si="22"/>
        <v>440616</v>
      </c>
      <c r="L75" s="10">
        <f t="shared" si="22"/>
        <v>3260.55</v>
      </c>
      <c r="M75" s="5" t="s">
        <v>51</v>
      </c>
      <c r="N75" s="1" t="s">
        <v>109</v>
      </c>
      <c r="O75" s="1" t="s">
        <v>809</v>
      </c>
      <c r="P75" s="1" t="s">
        <v>60</v>
      </c>
      <c r="Q75" s="1" t="s">
        <v>60</v>
      </c>
      <c r="R75" s="1" t="s">
        <v>61</v>
      </c>
      <c r="W75">
        <v>2</v>
      </c>
      <c r="AV75" s="1" t="s">
        <v>51</v>
      </c>
      <c r="AW75" s="1" t="s">
        <v>886</v>
      </c>
      <c r="AX75" s="1" t="s">
        <v>51</v>
      </c>
      <c r="AY75" s="1" t="s">
        <v>51</v>
      </c>
    </row>
    <row r="76" spans="1:51" ht="30" customHeight="1" x14ac:dyDescent="0.3">
      <c r="A76" s="5" t="s">
        <v>750</v>
      </c>
      <c r="B76" s="5" t="s">
        <v>751</v>
      </c>
      <c r="C76" s="5" t="s">
        <v>752</v>
      </c>
      <c r="D76" s="6">
        <f>공량산출근거서!K43</f>
        <v>7.4000000000000003E-3</v>
      </c>
      <c r="E76" s="11">
        <f>단가대비표!O162</f>
        <v>0</v>
      </c>
      <c r="F76" s="10">
        <f t="shared" si="19"/>
        <v>0</v>
      </c>
      <c r="G76" s="11">
        <f>단가대비표!P162</f>
        <v>172068</v>
      </c>
      <c r="H76" s="10">
        <f t="shared" si="20"/>
        <v>1273.3</v>
      </c>
      <c r="I76" s="11">
        <f>단가대비표!V162</f>
        <v>0</v>
      </c>
      <c r="J76" s="10">
        <f t="shared" si="21"/>
        <v>0</v>
      </c>
      <c r="K76" s="11">
        <f t="shared" si="22"/>
        <v>172068</v>
      </c>
      <c r="L76" s="10">
        <f t="shared" si="22"/>
        <v>1273.3</v>
      </c>
      <c r="M76" s="5" t="s">
        <v>51</v>
      </c>
      <c r="N76" s="1" t="s">
        <v>109</v>
      </c>
      <c r="O76" s="1" t="s">
        <v>753</v>
      </c>
      <c r="P76" s="1" t="s">
        <v>60</v>
      </c>
      <c r="Q76" s="1" t="s">
        <v>60</v>
      </c>
      <c r="R76" s="1" t="s">
        <v>61</v>
      </c>
      <c r="W76">
        <v>2</v>
      </c>
      <c r="AV76" s="1" t="s">
        <v>51</v>
      </c>
      <c r="AW76" s="1" t="s">
        <v>887</v>
      </c>
      <c r="AX76" s="1" t="s">
        <v>51</v>
      </c>
      <c r="AY76" s="1" t="s">
        <v>51</v>
      </c>
    </row>
    <row r="77" spans="1:51" ht="30" customHeight="1" x14ac:dyDescent="0.3">
      <c r="A77" s="5" t="s">
        <v>758</v>
      </c>
      <c r="B77" s="5" t="s">
        <v>759</v>
      </c>
      <c r="C77" s="5" t="s">
        <v>631</v>
      </c>
      <c r="D77" s="6">
        <v>1</v>
      </c>
      <c r="E77" s="11">
        <f>TRUNC(SUMIF(W72:W77, RIGHTB(O77, 1), H72:H77)*U77, 2)</f>
        <v>136.01</v>
      </c>
      <c r="F77" s="10">
        <f t="shared" si="19"/>
        <v>136.01</v>
      </c>
      <c r="G77" s="11">
        <v>0</v>
      </c>
      <c r="H77" s="10">
        <f t="shared" si="20"/>
        <v>0</v>
      </c>
      <c r="I77" s="11">
        <v>0</v>
      </c>
      <c r="J77" s="10">
        <f t="shared" si="21"/>
        <v>0</v>
      </c>
      <c r="K77" s="11">
        <f t="shared" si="22"/>
        <v>136.01</v>
      </c>
      <c r="L77" s="10">
        <f t="shared" si="22"/>
        <v>136.01</v>
      </c>
      <c r="M77" s="5" t="s">
        <v>51</v>
      </c>
      <c r="N77" s="1" t="s">
        <v>109</v>
      </c>
      <c r="O77" s="1" t="s">
        <v>748</v>
      </c>
      <c r="P77" s="1" t="s">
        <v>60</v>
      </c>
      <c r="Q77" s="1" t="s">
        <v>60</v>
      </c>
      <c r="R77" s="1" t="s">
        <v>60</v>
      </c>
      <c r="S77">
        <v>1</v>
      </c>
      <c r="T77">
        <v>0</v>
      </c>
      <c r="U77">
        <v>0.03</v>
      </c>
      <c r="AV77" s="1" t="s">
        <v>51</v>
      </c>
      <c r="AW77" s="1" t="s">
        <v>888</v>
      </c>
      <c r="AX77" s="1" t="s">
        <v>51</v>
      </c>
      <c r="AY77" s="1" t="s">
        <v>51</v>
      </c>
    </row>
    <row r="78" spans="1:51" ht="30" customHeight="1" x14ac:dyDescent="0.3">
      <c r="A78" s="5" t="s">
        <v>762</v>
      </c>
      <c r="B78" s="5" t="s">
        <v>51</v>
      </c>
      <c r="C78" s="5" t="s">
        <v>51</v>
      </c>
      <c r="D78" s="6"/>
      <c r="E78" s="11"/>
      <c r="F78" s="10">
        <f>TRUNC(SUMIF(N72:N77, N71, F72:F77),0)</f>
        <v>18487</v>
      </c>
      <c r="G78" s="11"/>
      <c r="H78" s="10">
        <f>TRUNC(SUMIF(N72:N77, N71, H72:H77),0)</f>
        <v>4533</v>
      </c>
      <c r="I78" s="11"/>
      <c r="J78" s="10">
        <f>TRUNC(SUMIF(N72:N77, N71, J72:J77),0)</f>
        <v>0</v>
      </c>
      <c r="K78" s="11"/>
      <c r="L78" s="10">
        <f>F78+H78+J78</f>
        <v>23020</v>
      </c>
      <c r="M78" s="5" t="s">
        <v>51</v>
      </c>
      <c r="N78" s="1" t="s">
        <v>208</v>
      </c>
      <c r="O78" s="1" t="s">
        <v>208</v>
      </c>
      <c r="P78" s="1" t="s">
        <v>51</v>
      </c>
      <c r="Q78" s="1" t="s">
        <v>51</v>
      </c>
      <c r="R78" s="1" t="s">
        <v>51</v>
      </c>
      <c r="AV78" s="1" t="s">
        <v>51</v>
      </c>
      <c r="AW78" s="1" t="s">
        <v>51</v>
      </c>
      <c r="AX78" s="1" t="s">
        <v>51</v>
      </c>
      <c r="AY78" s="1" t="s">
        <v>51</v>
      </c>
    </row>
    <row r="79" spans="1:51" ht="30" customHeight="1" x14ac:dyDescent="0.3">
      <c r="A79" s="6"/>
      <c r="B79" s="6"/>
      <c r="C79" s="6"/>
      <c r="D79" s="6"/>
      <c r="E79" s="11"/>
      <c r="F79" s="10"/>
      <c r="G79" s="11"/>
      <c r="H79" s="10"/>
      <c r="I79" s="11"/>
      <c r="J79" s="10"/>
      <c r="K79" s="11"/>
      <c r="L79" s="10"/>
      <c r="M79" s="6"/>
    </row>
    <row r="80" spans="1:51" ht="30" customHeight="1" x14ac:dyDescent="0.3">
      <c r="A80" s="37" t="s">
        <v>889</v>
      </c>
      <c r="B80" s="37"/>
      <c r="C80" s="37"/>
      <c r="D80" s="37"/>
      <c r="E80" s="38"/>
      <c r="F80" s="39"/>
      <c r="G80" s="38"/>
      <c r="H80" s="39"/>
      <c r="I80" s="38"/>
      <c r="J80" s="39"/>
      <c r="K80" s="38"/>
      <c r="L80" s="39"/>
      <c r="M80" s="37"/>
      <c r="N80" s="1" t="s">
        <v>115</v>
      </c>
    </row>
    <row r="81" spans="1:51" ht="30" customHeight="1" x14ac:dyDescent="0.3">
      <c r="A81" s="5" t="s">
        <v>111</v>
      </c>
      <c r="B81" s="5" t="s">
        <v>890</v>
      </c>
      <c r="C81" s="5" t="s">
        <v>58</v>
      </c>
      <c r="D81" s="6">
        <v>1</v>
      </c>
      <c r="E81" s="11">
        <f>단가대비표!O91</f>
        <v>59645</v>
      </c>
      <c r="F81" s="10">
        <f>TRUNC(E81*D81,2)</f>
        <v>59645</v>
      </c>
      <c r="G81" s="11">
        <f>단가대비표!P91</f>
        <v>0</v>
      </c>
      <c r="H81" s="10">
        <f>TRUNC(G81*D81,2)</f>
        <v>0</v>
      </c>
      <c r="I81" s="11">
        <f>단가대비표!V91</f>
        <v>0</v>
      </c>
      <c r="J81" s="10">
        <f>TRUNC(I81*D81,2)</f>
        <v>0</v>
      </c>
      <c r="K81" s="11">
        <f t="shared" ref="K81:L83" si="23">TRUNC(E81+G81+I81,2)</f>
        <v>59645</v>
      </c>
      <c r="L81" s="10">
        <f t="shared" si="23"/>
        <v>59645</v>
      </c>
      <c r="M81" s="5" t="s">
        <v>51</v>
      </c>
      <c r="N81" s="1" t="s">
        <v>115</v>
      </c>
      <c r="O81" s="1" t="s">
        <v>891</v>
      </c>
      <c r="P81" s="1" t="s">
        <v>60</v>
      </c>
      <c r="Q81" s="1" t="s">
        <v>60</v>
      </c>
      <c r="R81" s="1" t="s">
        <v>61</v>
      </c>
      <c r="AV81" s="1" t="s">
        <v>51</v>
      </c>
      <c r="AW81" s="1" t="s">
        <v>892</v>
      </c>
      <c r="AX81" s="1" t="s">
        <v>51</v>
      </c>
      <c r="AY81" s="1" t="s">
        <v>51</v>
      </c>
    </row>
    <row r="82" spans="1:51" ht="30" customHeight="1" x14ac:dyDescent="0.3">
      <c r="A82" s="5" t="s">
        <v>808</v>
      </c>
      <c r="B82" s="5" t="s">
        <v>751</v>
      </c>
      <c r="C82" s="5" t="s">
        <v>752</v>
      </c>
      <c r="D82" s="6">
        <f>공량산출근거서!K47</f>
        <v>0.86</v>
      </c>
      <c r="E82" s="11">
        <f>단가대비표!O170</f>
        <v>0</v>
      </c>
      <c r="F82" s="10">
        <f>TRUNC(E82*D82,2)</f>
        <v>0</v>
      </c>
      <c r="G82" s="11">
        <f>단가대비표!P170</f>
        <v>440616</v>
      </c>
      <c r="H82" s="10">
        <f>TRUNC(G82*D82,2)</f>
        <v>378929.76</v>
      </c>
      <c r="I82" s="11">
        <f>단가대비표!V170</f>
        <v>0</v>
      </c>
      <c r="J82" s="10">
        <f>TRUNC(I82*D82,2)</f>
        <v>0</v>
      </c>
      <c r="K82" s="11">
        <f t="shared" si="23"/>
        <v>440616</v>
      </c>
      <c r="L82" s="10">
        <f t="shared" si="23"/>
        <v>378929.76</v>
      </c>
      <c r="M82" s="5" t="s">
        <v>51</v>
      </c>
      <c r="N82" s="1" t="s">
        <v>115</v>
      </c>
      <c r="O82" s="1" t="s">
        <v>809</v>
      </c>
      <c r="P82" s="1" t="s">
        <v>60</v>
      </c>
      <c r="Q82" s="1" t="s">
        <v>60</v>
      </c>
      <c r="R82" s="1" t="s">
        <v>61</v>
      </c>
      <c r="V82">
        <v>1</v>
      </c>
      <c r="AV82" s="1" t="s">
        <v>51</v>
      </c>
      <c r="AW82" s="1" t="s">
        <v>893</v>
      </c>
      <c r="AX82" s="1" t="s">
        <v>51</v>
      </c>
      <c r="AY82" s="1" t="s">
        <v>51</v>
      </c>
    </row>
    <row r="83" spans="1:51" ht="30" customHeight="1" x14ac:dyDescent="0.3">
      <c r="A83" s="5" t="s">
        <v>758</v>
      </c>
      <c r="B83" s="5" t="s">
        <v>759</v>
      </c>
      <c r="C83" s="5" t="s">
        <v>631</v>
      </c>
      <c r="D83" s="6">
        <v>1</v>
      </c>
      <c r="E83" s="11">
        <f>TRUNC(SUMIF(V81:V83, RIGHTB(O83, 1), H81:H83)*U83, 2)</f>
        <v>11367.89</v>
      </c>
      <c r="F83" s="10">
        <f>TRUNC(E83*D83,2)</f>
        <v>11367.89</v>
      </c>
      <c r="G83" s="11">
        <v>0</v>
      </c>
      <c r="H83" s="10">
        <f>TRUNC(G83*D83,2)</f>
        <v>0</v>
      </c>
      <c r="I83" s="11">
        <v>0</v>
      </c>
      <c r="J83" s="10">
        <f>TRUNC(I83*D83,2)</f>
        <v>0</v>
      </c>
      <c r="K83" s="11">
        <f t="shared" si="23"/>
        <v>11367.89</v>
      </c>
      <c r="L83" s="10">
        <f t="shared" si="23"/>
        <v>11367.89</v>
      </c>
      <c r="M83" s="5" t="s">
        <v>51</v>
      </c>
      <c r="N83" s="1" t="s">
        <v>115</v>
      </c>
      <c r="O83" s="1" t="s">
        <v>657</v>
      </c>
      <c r="P83" s="1" t="s">
        <v>60</v>
      </c>
      <c r="Q83" s="1" t="s">
        <v>60</v>
      </c>
      <c r="R83" s="1" t="s">
        <v>60</v>
      </c>
      <c r="S83">
        <v>1</v>
      </c>
      <c r="T83">
        <v>0</v>
      </c>
      <c r="U83">
        <v>0.03</v>
      </c>
      <c r="AV83" s="1" t="s">
        <v>51</v>
      </c>
      <c r="AW83" s="1" t="s">
        <v>894</v>
      </c>
      <c r="AX83" s="1" t="s">
        <v>51</v>
      </c>
      <c r="AY83" s="1" t="s">
        <v>51</v>
      </c>
    </row>
    <row r="84" spans="1:51" ht="30" customHeight="1" x14ac:dyDescent="0.3">
      <c r="A84" s="5" t="s">
        <v>762</v>
      </c>
      <c r="B84" s="5" t="s">
        <v>51</v>
      </c>
      <c r="C84" s="5" t="s">
        <v>51</v>
      </c>
      <c r="D84" s="6"/>
      <c r="E84" s="11"/>
      <c r="F84" s="10">
        <f>TRUNC(SUMIF(N81:N83, N80, F81:F83),0)</f>
        <v>71012</v>
      </c>
      <c r="G84" s="11"/>
      <c r="H84" s="10">
        <f>TRUNC(SUMIF(N81:N83, N80, H81:H83),0)</f>
        <v>378929</v>
      </c>
      <c r="I84" s="11"/>
      <c r="J84" s="10">
        <f>TRUNC(SUMIF(N81:N83, N80, J81:J83),0)</f>
        <v>0</v>
      </c>
      <c r="K84" s="11"/>
      <c r="L84" s="10">
        <f>F84+H84+J84</f>
        <v>449941</v>
      </c>
      <c r="M84" s="5" t="s">
        <v>51</v>
      </c>
      <c r="N84" s="1" t="s">
        <v>208</v>
      </c>
      <c r="O84" s="1" t="s">
        <v>208</v>
      </c>
      <c r="P84" s="1" t="s">
        <v>51</v>
      </c>
      <c r="Q84" s="1" t="s">
        <v>51</v>
      </c>
      <c r="R84" s="1" t="s">
        <v>51</v>
      </c>
      <c r="AV84" s="1" t="s">
        <v>51</v>
      </c>
      <c r="AW84" s="1" t="s">
        <v>51</v>
      </c>
      <c r="AX84" s="1" t="s">
        <v>51</v>
      </c>
      <c r="AY84" s="1" t="s">
        <v>51</v>
      </c>
    </row>
    <row r="85" spans="1:51" ht="30" customHeight="1" x14ac:dyDescent="0.3">
      <c r="A85" s="6"/>
      <c r="B85" s="6"/>
      <c r="C85" s="6"/>
      <c r="D85" s="6"/>
      <c r="E85" s="11"/>
      <c r="F85" s="10"/>
      <c r="G85" s="11"/>
      <c r="H85" s="10"/>
      <c r="I85" s="11"/>
      <c r="J85" s="10"/>
      <c r="K85" s="11"/>
      <c r="L85" s="10"/>
      <c r="M85" s="6"/>
    </row>
    <row r="86" spans="1:51" ht="30" customHeight="1" x14ac:dyDescent="0.3">
      <c r="A86" s="37" t="s">
        <v>895</v>
      </c>
      <c r="B86" s="37"/>
      <c r="C86" s="37"/>
      <c r="D86" s="37"/>
      <c r="E86" s="38"/>
      <c r="F86" s="39"/>
      <c r="G86" s="38"/>
      <c r="H86" s="39"/>
      <c r="I86" s="38"/>
      <c r="J86" s="39"/>
      <c r="K86" s="38"/>
      <c r="L86" s="39"/>
      <c r="M86" s="37"/>
      <c r="N86" s="1" t="s">
        <v>120</v>
      </c>
    </row>
    <row r="87" spans="1:51" ht="30" customHeight="1" x14ac:dyDescent="0.3">
      <c r="A87" s="5" t="s">
        <v>842</v>
      </c>
      <c r="B87" s="5" t="s">
        <v>843</v>
      </c>
      <c r="C87" s="5" t="s">
        <v>58</v>
      </c>
      <c r="D87" s="6">
        <v>1</v>
      </c>
      <c r="E87" s="11">
        <f>단가대비표!O97</f>
        <v>3316</v>
      </c>
      <c r="F87" s="10">
        <f>TRUNC(E87*D87,2)</f>
        <v>3316</v>
      </c>
      <c r="G87" s="11">
        <f>단가대비표!P97</f>
        <v>0</v>
      </c>
      <c r="H87" s="10">
        <f>TRUNC(G87*D87,2)</f>
        <v>0</v>
      </c>
      <c r="I87" s="11">
        <f>단가대비표!V97</f>
        <v>0</v>
      </c>
      <c r="J87" s="10">
        <f>TRUNC(I87*D87,2)</f>
        <v>0</v>
      </c>
      <c r="K87" s="11">
        <f t="shared" ref="K87:L90" si="24">TRUNC(E87+G87+I87,2)</f>
        <v>3316</v>
      </c>
      <c r="L87" s="10">
        <f t="shared" si="24"/>
        <v>3316</v>
      </c>
      <c r="M87" s="5" t="s">
        <v>51</v>
      </c>
      <c r="N87" s="1" t="s">
        <v>120</v>
      </c>
      <c r="O87" s="1" t="s">
        <v>844</v>
      </c>
      <c r="P87" s="1" t="s">
        <v>60</v>
      </c>
      <c r="Q87" s="1" t="s">
        <v>60</v>
      </c>
      <c r="R87" s="1" t="s">
        <v>61</v>
      </c>
      <c r="AV87" s="1" t="s">
        <v>51</v>
      </c>
      <c r="AW87" s="1" t="s">
        <v>896</v>
      </c>
      <c r="AX87" s="1" t="s">
        <v>51</v>
      </c>
      <c r="AY87" s="1" t="s">
        <v>51</v>
      </c>
    </row>
    <row r="88" spans="1:51" ht="30" customHeight="1" x14ac:dyDescent="0.3">
      <c r="A88" s="5" t="s">
        <v>769</v>
      </c>
      <c r="B88" s="5" t="s">
        <v>751</v>
      </c>
      <c r="C88" s="5" t="s">
        <v>752</v>
      </c>
      <c r="D88" s="6">
        <f>공량산출근거서!K52</f>
        <v>0.11</v>
      </c>
      <c r="E88" s="11">
        <f>단가대비표!O169</f>
        <v>0</v>
      </c>
      <c r="F88" s="10">
        <f>TRUNC(E88*D88,2)</f>
        <v>0</v>
      </c>
      <c r="G88" s="11">
        <f>단가대비표!P169</f>
        <v>273676</v>
      </c>
      <c r="H88" s="10">
        <f>TRUNC(G88*D88,2)</f>
        <v>30104.36</v>
      </c>
      <c r="I88" s="11">
        <f>단가대비표!V169</f>
        <v>0</v>
      </c>
      <c r="J88" s="10">
        <f>TRUNC(I88*D88,2)</f>
        <v>0</v>
      </c>
      <c r="K88" s="11">
        <f t="shared" si="24"/>
        <v>273676</v>
      </c>
      <c r="L88" s="10">
        <f t="shared" si="24"/>
        <v>30104.36</v>
      </c>
      <c r="M88" s="5" t="s">
        <v>51</v>
      </c>
      <c r="N88" s="1" t="s">
        <v>120</v>
      </c>
      <c r="O88" s="1" t="s">
        <v>770</v>
      </c>
      <c r="P88" s="1" t="s">
        <v>60</v>
      </c>
      <c r="Q88" s="1" t="s">
        <v>60</v>
      </c>
      <c r="R88" s="1" t="s">
        <v>61</v>
      </c>
      <c r="V88">
        <v>1</v>
      </c>
      <c r="AV88" s="1" t="s">
        <v>51</v>
      </c>
      <c r="AW88" s="1" t="s">
        <v>897</v>
      </c>
      <c r="AX88" s="1" t="s">
        <v>51</v>
      </c>
      <c r="AY88" s="1" t="s">
        <v>51</v>
      </c>
    </row>
    <row r="89" spans="1:51" ht="30" customHeight="1" x14ac:dyDescent="0.3">
      <c r="A89" s="5" t="s">
        <v>750</v>
      </c>
      <c r="B89" s="5" t="s">
        <v>751</v>
      </c>
      <c r="C89" s="5" t="s">
        <v>752</v>
      </c>
      <c r="D89" s="6">
        <f>공량산출근거서!K51</f>
        <v>0.08</v>
      </c>
      <c r="E89" s="11">
        <f>단가대비표!O162</f>
        <v>0</v>
      </c>
      <c r="F89" s="10">
        <f>TRUNC(E89*D89,2)</f>
        <v>0</v>
      </c>
      <c r="G89" s="11">
        <f>단가대비표!P162</f>
        <v>172068</v>
      </c>
      <c r="H89" s="10">
        <f>TRUNC(G89*D89,2)</f>
        <v>13765.44</v>
      </c>
      <c r="I89" s="11">
        <f>단가대비표!V162</f>
        <v>0</v>
      </c>
      <c r="J89" s="10">
        <f>TRUNC(I89*D89,2)</f>
        <v>0</v>
      </c>
      <c r="K89" s="11">
        <f t="shared" si="24"/>
        <v>172068</v>
      </c>
      <c r="L89" s="10">
        <f t="shared" si="24"/>
        <v>13765.44</v>
      </c>
      <c r="M89" s="5" t="s">
        <v>51</v>
      </c>
      <c r="N89" s="1" t="s">
        <v>120</v>
      </c>
      <c r="O89" s="1" t="s">
        <v>753</v>
      </c>
      <c r="P89" s="1" t="s">
        <v>60</v>
      </c>
      <c r="Q89" s="1" t="s">
        <v>60</v>
      </c>
      <c r="R89" s="1" t="s">
        <v>61</v>
      </c>
      <c r="V89">
        <v>1</v>
      </c>
      <c r="AV89" s="1" t="s">
        <v>51</v>
      </c>
      <c r="AW89" s="1" t="s">
        <v>898</v>
      </c>
      <c r="AX89" s="1" t="s">
        <v>51</v>
      </c>
      <c r="AY89" s="1" t="s">
        <v>51</v>
      </c>
    </row>
    <row r="90" spans="1:51" ht="30" customHeight="1" x14ac:dyDescent="0.3">
      <c r="A90" s="5" t="s">
        <v>758</v>
      </c>
      <c r="B90" s="5" t="s">
        <v>759</v>
      </c>
      <c r="C90" s="5" t="s">
        <v>631</v>
      </c>
      <c r="D90" s="6">
        <v>1</v>
      </c>
      <c r="E90" s="11">
        <f>TRUNC(SUMIF(V87:V90, RIGHTB(O90, 1), H87:H90)*U90, 2)</f>
        <v>1316.09</v>
      </c>
      <c r="F90" s="10">
        <f>TRUNC(E90*D90,2)</f>
        <v>1316.09</v>
      </c>
      <c r="G90" s="11">
        <v>0</v>
      </c>
      <c r="H90" s="10">
        <f>TRUNC(G90*D90,2)</f>
        <v>0</v>
      </c>
      <c r="I90" s="11">
        <v>0</v>
      </c>
      <c r="J90" s="10">
        <f>TRUNC(I90*D90,2)</f>
        <v>0</v>
      </c>
      <c r="K90" s="11">
        <f t="shared" si="24"/>
        <v>1316.09</v>
      </c>
      <c r="L90" s="10">
        <f t="shared" si="24"/>
        <v>1316.09</v>
      </c>
      <c r="M90" s="5" t="s">
        <v>51</v>
      </c>
      <c r="N90" s="1" t="s">
        <v>120</v>
      </c>
      <c r="O90" s="1" t="s">
        <v>657</v>
      </c>
      <c r="P90" s="1" t="s">
        <v>60</v>
      </c>
      <c r="Q90" s="1" t="s">
        <v>60</v>
      </c>
      <c r="R90" s="1" t="s">
        <v>60</v>
      </c>
      <c r="S90">
        <v>1</v>
      </c>
      <c r="T90">
        <v>0</v>
      </c>
      <c r="U90">
        <v>0.03</v>
      </c>
      <c r="AV90" s="1" t="s">
        <v>51</v>
      </c>
      <c r="AW90" s="1" t="s">
        <v>899</v>
      </c>
      <c r="AX90" s="1" t="s">
        <v>51</v>
      </c>
      <c r="AY90" s="1" t="s">
        <v>51</v>
      </c>
    </row>
    <row r="91" spans="1:51" ht="30" customHeight="1" x14ac:dyDescent="0.3">
      <c r="A91" s="5" t="s">
        <v>762</v>
      </c>
      <c r="B91" s="5" t="s">
        <v>51</v>
      </c>
      <c r="C91" s="5" t="s">
        <v>51</v>
      </c>
      <c r="D91" s="6"/>
      <c r="E91" s="11"/>
      <c r="F91" s="10">
        <f>TRUNC(SUMIF(N87:N90, N86, F87:F90),0)</f>
        <v>4632</v>
      </c>
      <c r="G91" s="11"/>
      <c r="H91" s="10">
        <f>TRUNC(SUMIF(N87:N90, N86, H87:H90),0)</f>
        <v>43869</v>
      </c>
      <c r="I91" s="11"/>
      <c r="J91" s="10">
        <f>TRUNC(SUMIF(N87:N90, N86, J87:J90),0)</f>
        <v>0</v>
      </c>
      <c r="K91" s="11"/>
      <c r="L91" s="10">
        <f>F91+H91+J91</f>
        <v>48501</v>
      </c>
      <c r="M91" s="5" t="s">
        <v>51</v>
      </c>
      <c r="N91" s="1" t="s">
        <v>208</v>
      </c>
      <c r="O91" s="1" t="s">
        <v>208</v>
      </c>
      <c r="P91" s="1" t="s">
        <v>51</v>
      </c>
      <c r="Q91" s="1" t="s">
        <v>51</v>
      </c>
      <c r="R91" s="1" t="s">
        <v>51</v>
      </c>
      <c r="AV91" s="1" t="s">
        <v>51</v>
      </c>
      <c r="AW91" s="1" t="s">
        <v>51</v>
      </c>
      <c r="AX91" s="1" t="s">
        <v>51</v>
      </c>
      <c r="AY91" s="1" t="s">
        <v>51</v>
      </c>
    </row>
    <row r="92" spans="1:51" ht="30" customHeight="1" x14ac:dyDescent="0.3">
      <c r="A92" s="6"/>
      <c r="B92" s="6"/>
      <c r="C92" s="6"/>
      <c r="D92" s="6"/>
      <c r="E92" s="11"/>
      <c r="F92" s="10"/>
      <c r="G92" s="11"/>
      <c r="H92" s="10"/>
      <c r="I92" s="11"/>
      <c r="J92" s="10"/>
      <c r="K92" s="11"/>
      <c r="L92" s="10"/>
      <c r="M92" s="6"/>
    </row>
    <row r="93" spans="1:51" ht="30" customHeight="1" x14ac:dyDescent="0.3">
      <c r="A93" s="37" t="s">
        <v>900</v>
      </c>
      <c r="B93" s="37"/>
      <c r="C93" s="37"/>
      <c r="D93" s="37"/>
      <c r="E93" s="38"/>
      <c r="F93" s="39"/>
      <c r="G93" s="38"/>
      <c r="H93" s="39"/>
      <c r="I93" s="38"/>
      <c r="J93" s="39"/>
      <c r="K93" s="38"/>
      <c r="L93" s="39"/>
      <c r="M93" s="37"/>
      <c r="N93" s="1" t="s">
        <v>141</v>
      </c>
    </row>
    <row r="94" spans="1:51" ht="30" customHeight="1" x14ac:dyDescent="0.3">
      <c r="A94" s="5" t="s">
        <v>901</v>
      </c>
      <c r="B94" s="5" t="s">
        <v>902</v>
      </c>
      <c r="C94" s="5" t="s">
        <v>124</v>
      </c>
      <c r="D94" s="6">
        <v>1.2</v>
      </c>
      <c r="E94" s="11">
        <f>단가대비표!O10</f>
        <v>50000</v>
      </c>
      <c r="F94" s="10">
        <f>TRUNC(E94*D94,2)</f>
        <v>60000</v>
      </c>
      <c r="G94" s="11">
        <f>단가대비표!P10</f>
        <v>0</v>
      </c>
      <c r="H94" s="10">
        <f>TRUNC(G94*D94,2)</f>
        <v>0</v>
      </c>
      <c r="I94" s="11">
        <f>단가대비표!V10</f>
        <v>0</v>
      </c>
      <c r="J94" s="10">
        <f>TRUNC(I94*D94,2)</f>
        <v>0</v>
      </c>
      <c r="K94" s="11">
        <f t="shared" ref="K94:L96" si="25">TRUNC(E94+G94+I94,2)</f>
        <v>50000</v>
      </c>
      <c r="L94" s="10">
        <f t="shared" si="25"/>
        <v>60000</v>
      </c>
      <c r="M94" s="5" t="s">
        <v>903</v>
      </c>
      <c r="N94" s="1" t="s">
        <v>141</v>
      </c>
      <c r="O94" s="1" t="s">
        <v>904</v>
      </c>
      <c r="P94" s="1" t="s">
        <v>60</v>
      </c>
      <c r="Q94" s="1" t="s">
        <v>60</v>
      </c>
      <c r="R94" s="1" t="s">
        <v>61</v>
      </c>
      <c r="AV94" s="1" t="s">
        <v>51</v>
      </c>
      <c r="AW94" s="1" t="s">
        <v>905</v>
      </c>
      <c r="AX94" s="1" t="s">
        <v>51</v>
      </c>
      <c r="AY94" s="1" t="s">
        <v>51</v>
      </c>
    </row>
    <row r="95" spans="1:51" ht="30" customHeight="1" x14ac:dyDescent="0.3">
      <c r="A95" s="5" t="s">
        <v>750</v>
      </c>
      <c r="B95" s="5" t="s">
        <v>751</v>
      </c>
      <c r="C95" s="5" t="s">
        <v>752</v>
      </c>
      <c r="D95" s="6">
        <v>0.4</v>
      </c>
      <c r="E95" s="11">
        <f>단가대비표!O162</f>
        <v>0</v>
      </c>
      <c r="F95" s="10">
        <f>TRUNC(E95*D95,2)</f>
        <v>0</v>
      </c>
      <c r="G95" s="11">
        <f>단가대비표!P162</f>
        <v>172068</v>
      </c>
      <c r="H95" s="10">
        <f>TRUNC(G95*D95,2)</f>
        <v>68827.199999999997</v>
      </c>
      <c r="I95" s="11">
        <f>단가대비표!V162</f>
        <v>0</v>
      </c>
      <c r="J95" s="10">
        <f>TRUNC(I95*D95,2)</f>
        <v>0</v>
      </c>
      <c r="K95" s="11">
        <f t="shared" si="25"/>
        <v>172068</v>
      </c>
      <c r="L95" s="10">
        <f t="shared" si="25"/>
        <v>68827.199999999997</v>
      </c>
      <c r="M95" s="5" t="s">
        <v>51</v>
      </c>
      <c r="N95" s="1" t="s">
        <v>141</v>
      </c>
      <c r="O95" s="1" t="s">
        <v>753</v>
      </c>
      <c r="P95" s="1" t="s">
        <v>60</v>
      </c>
      <c r="Q95" s="1" t="s">
        <v>60</v>
      </c>
      <c r="R95" s="1" t="s">
        <v>61</v>
      </c>
      <c r="V95">
        <v>1</v>
      </c>
      <c r="AV95" s="1" t="s">
        <v>51</v>
      </c>
      <c r="AW95" s="1" t="s">
        <v>906</v>
      </c>
      <c r="AX95" s="1" t="s">
        <v>51</v>
      </c>
      <c r="AY95" s="1" t="s">
        <v>51</v>
      </c>
    </row>
    <row r="96" spans="1:51" ht="30" customHeight="1" x14ac:dyDescent="0.3">
      <c r="A96" s="5" t="s">
        <v>758</v>
      </c>
      <c r="B96" s="5" t="s">
        <v>907</v>
      </c>
      <c r="C96" s="5" t="s">
        <v>631</v>
      </c>
      <c r="D96" s="6">
        <v>1</v>
      </c>
      <c r="E96" s="11">
        <f>TRUNC(SUMIF(V94:V96, RIGHTB(O96, 1), H94:H96)*U96, 2)</f>
        <v>1376.54</v>
      </c>
      <c r="F96" s="10">
        <f>TRUNC(E96*D96,2)</f>
        <v>1376.54</v>
      </c>
      <c r="G96" s="11">
        <v>0</v>
      </c>
      <c r="H96" s="10">
        <f>TRUNC(G96*D96,2)</f>
        <v>0</v>
      </c>
      <c r="I96" s="11">
        <v>0</v>
      </c>
      <c r="J96" s="10">
        <f>TRUNC(I96*D96,2)</f>
        <v>0</v>
      </c>
      <c r="K96" s="11">
        <f t="shared" si="25"/>
        <v>1376.54</v>
      </c>
      <c r="L96" s="10">
        <f t="shared" si="25"/>
        <v>1376.54</v>
      </c>
      <c r="M96" s="5" t="s">
        <v>51</v>
      </c>
      <c r="N96" s="1" t="s">
        <v>141</v>
      </c>
      <c r="O96" s="1" t="s">
        <v>657</v>
      </c>
      <c r="P96" s="1" t="s">
        <v>60</v>
      </c>
      <c r="Q96" s="1" t="s">
        <v>60</v>
      </c>
      <c r="R96" s="1" t="s">
        <v>60</v>
      </c>
      <c r="S96">
        <v>1</v>
      </c>
      <c r="T96">
        <v>0</v>
      </c>
      <c r="U96">
        <v>0.02</v>
      </c>
      <c r="AV96" s="1" t="s">
        <v>51</v>
      </c>
      <c r="AW96" s="1" t="s">
        <v>908</v>
      </c>
      <c r="AX96" s="1" t="s">
        <v>51</v>
      </c>
      <c r="AY96" s="1" t="s">
        <v>51</v>
      </c>
    </row>
    <row r="97" spans="1:51" ht="30" customHeight="1" x14ac:dyDescent="0.3">
      <c r="A97" s="5" t="s">
        <v>762</v>
      </c>
      <c r="B97" s="5" t="s">
        <v>51</v>
      </c>
      <c r="C97" s="5" t="s">
        <v>51</v>
      </c>
      <c r="D97" s="6"/>
      <c r="E97" s="11"/>
      <c r="F97" s="10">
        <f>TRUNC(SUMIF(N94:N96, N93, F94:F96),0)</f>
        <v>61376</v>
      </c>
      <c r="G97" s="11"/>
      <c r="H97" s="10">
        <f>TRUNC(SUMIF(N94:N96, N93, H94:H96),0)</f>
        <v>68827</v>
      </c>
      <c r="I97" s="11"/>
      <c r="J97" s="10">
        <f>TRUNC(SUMIF(N94:N96, N93, J94:J96),0)</f>
        <v>0</v>
      </c>
      <c r="K97" s="11"/>
      <c r="L97" s="10">
        <f>F97+H97+J97</f>
        <v>130203</v>
      </c>
      <c r="M97" s="5" t="s">
        <v>51</v>
      </c>
      <c r="N97" s="1" t="s">
        <v>208</v>
      </c>
      <c r="O97" s="1" t="s">
        <v>208</v>
      </c>
      <c r="P97" s="1" t="s">
        <v>51</v>
      </c>
      <c r="Q97" s="1" t="s">
        <v>51</v>
      </c>
      <c r="R97" s="1" t="s">
        <v>51</v>
      </c>
      <c r="AV97" s="1" t="s">
        <v>51</v>
      </c>
      <c r="AW97" s="1" t="s">
        <v>51</v>
      </c>
      <c r="AX97" s="1" t="s">
        <v>51</v>
      </c>
      <c r="AY97" s="1" t="s">
        <v>51</v>
      </c>
    </row>
    <row r="98" spans="1:51" ht="30" customHeight="1" x14ac:dyDescent="0.3">
      <c r="A98" s="6"/>
      <c r="B98" s="6"/>
      <c r="C98" s="6"/>
      <c r="D98" s="6"/>
      <c r="E98" s="11"/>
      <c r="F98" s="10"/>
      <c r="G98" s="11"/>
      <c r="H98" s="10"/>
      <c r="I98" s="11"/>
      <c r="J98" s="10"/>
      <c r="K98" s="11"/>
      <c r="L98" s="10"/>
      <c r="M98" s="6"/>
    </row>
    <row r="99" spans="1:51" ht="30" customHeight="1" x14ac:dyDescent="0.3">
      <c r="A99" s="37" t="s">
        <v>909</v>
      </c>
      <c r="B99" s="37"/>
      <c r="C99" s="37"/>
      <c r="D99" s="37"/>
      <c r="E99" s="38"/>
      <c r="F99" s="39"/>
      <c r="G99" s="38"/>
      <c r="H99" s="39"/>
      <c r="I99" s="38"/>
      <c r="J99" s="39"/>
      <c r="K99" s="38"/>
      <c r="L99" s="39"/>
      <c r="M99" s="37"/>
      <c r="N99" s="1" t="s">
        <v>145</v>
      </c>
    </row>
    <row r="100" spans="1:51" ht="30" customHeight="1" x14ac:dyDescent="0.3">
      <c r="A100" s="5" t="s">
        <v>813</v>
      </c>
      <c r="B100" s="5" t="s">
        <v>814</v>
      </c>
      <c r="C100" s="5" t="s">
        <v>124</v>
      </c>
      <c r="D100" s="6">
        <v>6.48</v>
      </c>
      <c r="E100" s="11">
        <f>일위대가목록!E88</f>
        <v>318</v>
      </c>
      <c r="F100" s="10">
        <f t="shared" ref="F100:F118" si="26">TRUNC(E100*D100,2)</f>
        <v>2060.64</v>
      </c>
      <c r="G100" s="11">
        <f>일위대가목록!F88</f>
        <v>7715</v>
      </c>
      <c r="H100" s="10">
        <f t="shared" ref="H100:H118" si="27">TRUNC(G100*D100,2)</f>
        <v>49993.2</v>
      </c>
      <c r="I100" s="11">
        <f>일위대가목록!G88</f>
        <v>267</v>
      </c>
      <c r="J100" s="10">
        <f t="shared" ref="J100:J118" si="28">TRUNC(I100*D100,2)</f>
        <v>1730.16</v>
      </c>
      <c r="K100" s="11">
        <f t="shared" ref="K100:K118" si="29">TRUNC(E100+G100+I100,2)</f>
        <v>8300</v>
      </c>
      <c r="L100" s="10">
        <f t="shared" ref="L100:L118" si="30">TRUNC(F100+H100+J100,2)</f>
        <v>53784</v>
      </c>
      <c r="M100" s="5" t="s">
        <v>815</v>
      </c>
      <c r="N100" s="1" t="s">
        <v>145</v>
      </c>
      <c r="O100" s="1" t="s">
        <v>816</v>
      </c>
      <c r="P100" s="1" t="s">
        <v>61</v>
      </c>
      <c r="Q100" s="1" t="s">
        <v>60</v>
      </c>
      <c r="R100" s="1" t="s">
        <v>60</v>
      </c>
      <c r="AV100" s="1" t="s">
        <v>51</v>
      </c>
      <c r="AW100" s="1" t="s">
        <v>910</v>
      </c>
      <c r="AX100" s="1" t="s">
        <v>51</v>
      </c>
      <c r="AY100" s="1" t="s">
        <v>51</v>
      </c>
    </row>
    <row r="101" spans="1:51" ht="30" customHeight="1" x14ac:dyDescent="0.3">
      <c r="A101" s="5" t="s">
        <v>818</v>
      </c>
      <c r="B101" s="5" t="s">
        <v>819</v>
      </c>
      <c r="C101" s="5" t="s">
        <v>124</v>
      </c>
      <c r="D101" s="6">
        <v>3.3439999999999999</v>
      </c>
      <c r="E101" s="11">
        <f>일위대가목록!E89</f>
        <v>0</v>
      </c>
      <c r="F101" s="10">
        <f t="shared" si="26"/>
        <v>0</v>
      </c>
      <c r="G101" s="11">
        <f>일위대가목록!F89</f>
        <v>17206</v>
      </c>
      <c r="H101" s="10">
        <f t="shared" si="27"/>
        <v>57536.86</v>
      </c>
      <c r="I101" s="11">
        <f>일위대가목록!G89</f>
        <v>0</v>
      </c>
      <c r="J101" s="10">
        <f t="shared" si="28"/>
        <v>0</v>
      </c>
      <c r="K101" s="11">
        <f t="shared" si="29"/>
        <v>17206</v>
      </c>
      <c r="L101" s="10">
        <f t="shared" si="30"/>
        <v>57536.86</v>
      </c>
      <c r="M101" s="5" t="s">
        <v>820</v>
      </c>
      <c r="N101" s="1" t="s">
        <v>145</v>
      </c>
      <c r="O101" s="1" t="s">
        <v>821</v>
      </c>
      <c r="P101" s="1" t="s">
        <v>61</v>
      </c>
      <c r="Q101" s="1" t="s">
        <v>60</v>
      </c>
      <c r="R101" s="1" t="s">
        <v>60</v>
      </c>
      <c r="AV101" s="1" t="s">
        <v>51</v>
      </c>
      <c r="AW101" s="1" t="s">
        <v>911</v>
      </c>
      <c r="AX101" s="1" t="s">
        <v>51</v>
      </c>
      <c r="AY101" s="1" t="s">
        <v>51</v>
      </c>
    </row>
    <row r="102" spans="1:51" ht="30" customHeight="1" x14ac:dyDescent="0.3">
      <c r="A102" s="5" t="s">
        <v>823</v>
      </c>
      <c r="B102" s="5" t="s">
        <v>824</v>
      </c>
      <c r="C102" s="5" t="s">
        <v>124</v>
      </c>
      <c r="D102" s="6">
        <v>0.13600000000000001</v>
      </c>
      <c r="E102" s="11">
        <f>일위대가목록!E90</f>
        <v>0</v>
      </c>
      <c r="F102" s="10">
        <f t="shared" si="26"/>
        <v>0</v>
      </c>
      <c r="G102" s="11">
        <f>일위대가목록!F90</f>
        <v>34413</v>
      </c>
      <c r="H102" s="10">
        <f t="shared" si="27"/>
        <v>4680.16</v>
      </c>
      <c r="I102" s="11">
        <f>일위대가목록!G90</f>
        <v>0</v>
      </c>
      <c r="J102" s="10">
        <f t="shared" si="28"/>
        <v>0</v>
      </c>
      <c r="K102" s="11">
        <f t="shared" si="29"/>
        <v>34413</v>
      </c>
      <c r="L102" s="10">
        <f t="shared" si="30"/>
        <v>4680.16</v>
      </c>
      <c r="M102" s="5" t="s">
        <v>825</v>
      </c>
      <c r="N102" s="1" t="s">
        <v>145</v>
      </c>
      <c r="O102" s="1" t="s">
        <v>826</v>
      </c>
      <c r="P102" s="1" t="s">
        <v>61</v>
      </c>
      <c r="Q102" s="1" t="s">
        <v>60</v>
      </c>
      <c r="R102" s="1" t="s">
        <v>60</v>
      </c>
      <c r="AV102" s="1" t="s">
        <v>51</v>
      </c>
      <c r="AW102" s="1" t="s">
        <v>912</v>
      </c>
      <c r="AX102" s="1" t="s">
        <v>51</v>
      </c>
      <c r="AY102" s="1" t="s">
        <v>51</v>
      </c>
    </row>
    <row r="103" spans="1:51" ht="30" customHeight="1" x14ac:dyDescent="0.3">
      <c r="A103" s="5" t="s">
        <v>828</v>
      </c>
      <c r="B103" s="5" t="s">
        <v>829</v>
      </c>
      <c r="C103" s="5" t="s">
        <v>124</v>
      </c>
      <c r="D103" s="6">
        <v>0.39200000000000002</v>
      </c>
      <c r="E103" s="11">
        <f>일위대가목록!E91</f>
        <v>35685</v>
      </c>
      <c r="F103" s="10">
        <f t="shared" si="26"/>
        <v>13988.52</v>
      </c>
      <c r="G103" s="11">
        <f>일위대가목록!F91</f>
        <v>189274</v>
      </c>
      <c r="H103" s="10">
        <f t="shared" si="27"/>
        <v>74195.399999999994</v>
      </c>
      <c r="I103" s="11">
        <f>일위대가목록!G91</f>
        <v>0</v>
      </c>
      <c r="J103" s="10">
        <f t="shared" si="28"/>
        <v>0</v>
      </c>
      <c r="K103" s="11">
        <f t="shared" si="29"/>
        <v>224959</v>
      </c>
      <c r="L103" s="10">
        <f t="shared" si="30"/>
        <v>88183.92</v>
      </c>
      <c r="M103" s="5" t="s">
        <v>830</v>
      </c>
      <c r="N103" s="1" t="s">
        <v>145</v>
      </c>
      <c r="O103" s="1" t="s">
        <v>831</v>
      </c>
      <c r="P103" s="1" t="s">
        <v>61</v>
      </c>
      <c r="Q103" s="1" t="s">
        <v>60</v>
      </c>
      <c r="R103" s="1" t="s">
        <v>60</v>
      </c>
      <c r="AV103" s="1" t="s">
        <v>51</v>
      </c>
      <c r="AW103" s="1" t="s">
        <v>913</v>
      </c>
      <c r="AX103" s="1" t="s">
        <v>51</v>
      </c>
      <c r="AY103" s="1" t="s">
        <v>51</v>
      </c>
    </row>
    <row r="104" spans="1:51" ht="30" customHeight="1" x14ac:dyDescent="0.3">
      <c r="A104" s="5" t="s">
        <v>833</v>
      </c>
      <c r="B104" s="5" t="s">
        <v>834</v>
      </c>
      <c r="C104" s="5" t="s">
        <v>835</v>
      </c>
      <c r="D104" s="6">
        <v>1</v>
      </c>
      <c r="E104" s="11">
        <f>단가대비표!O46</f>
        <v>370000</v>
      </c>
      <c r="F104" s="10">
        <f t="shared" si="26"/>
        <v>370000</v>
      </c>
      <c r="G104" s="11">
        <f>단가대비표!P46</f>
        <v>0</v>
      </c>
      <c r="H104" s="10">
        <f t="shared" si="27"/>
        <v>0</v>
      </c>
      <c r="I104" s="11">
        <f>단가대비표!V46</f>
        <v>0</v>
      </c>
      <c r="J104" s="10">
        <f t="shared" si="28"/>
        <v>0</v>
      </c>
      <c r="K104" s="11">
        <f t="shared" si="29"/>
        <v>370000</v>
      </c>
      <c r="L104" s="10">
        <f t="shared" si="30"/>
        <v>370000</v>
      </c>
      <c r="M104" s="5" t="s">
        <v>51</v>
      </c>
      <c r="N104" s="1" t="s">
        <v>145</v>
      </c>
      <c r="O104" s="1" t="s">
        <v>836</v>
      </c>
      <c r="P104" s="1" t="s">
        <v>60</v>
      </c>
      <c r="Q104" s="1" t="s">
        <v>60</v>
      </c>
      <c r="R104" s="1" t="s">
        <v>61</v>
      </c>
      <c r="AV104" s="1" t="s">
        <v>51</v>
      </c>
      <c r="AW104" s="1" t="s">
        <v>914</v>
      </c>
      <c r="AX104" s="1" t="s">
        <v>51</v>
      </c>
      <c r="AY104" s="1" t="s">
        <v>51</v>
      </c>
    </row>
    <row r="105" spans="1:51" ht="30" customHeight="1" x14ac:dyDescent="0.3">
      <c r="A105" s="5" t="s">
        <v>838</v>
      </c>
      <c r="B105" s="5" t="s">
        <v>915</v>
      </c>
      <c r="C105" s="5" t="s">
        <v>835</v>
      </c>
      <c r="D105" s="6">
        <v>1</v>
      </c>
      <c r="E105" s="11">
        <f>단가대비표!O44</f>
        <v>220000</v>
      </c>
      <c r="F105" s="10">
        <f t="shared" si="26"/>
        <v>220000</v>
      </c>
      <c r="G105" s="11">
        <f>단가대비표!P44</f>
        <v>0</v>
      </c>
      <c r="H105" s="10">
        <f t="shared" si="27"/>
        <v>0</v>
      </c>
      <c r="I105" s="11">
        <f>단가대비표!V44</f>
        <v>0</v>
      </c>
      <c r="J105" s="10">
        <f t="shared" si="28"/>
        <v>0</v>
      </c>
      <c r="K105" s="11">
        <f t="shared" si="29"/>
        <v>220000</v>
      </c>
      <c r="L105" s="10">
        <f t="shared" si="30"/>
        <v>220000</v>
      </c>
      <c r="M105" s="5" t="s">
        <v>51</v>
      </c>
      <c r="N105" s="1" t="s">
        <v>145</v>
      </c>
      <c r="O105" s="1" t="s">
        <v>916</v>
      </c>
      <c r="P105" s="1" t="s">
        <v>60</v>
      </c>
      <c r="Q105" s="1" t="s">
        <v>60</v>
      </c>
      <c r="R105" s="1" t="s">
        <v>61</v>
      </c>
      <c r="AV105" s="1" t="s">
        <v>51</v>
      </c>
      <c r="AW105" s="1" t="s">
        <v>917</v>
      </c>
      <c r="AX105" s="1" t="s">
        <v>51</v>
      </c>
      <c r="AY105" s="1" t="s">
        <v>51</v>
      </c>
    </row>
    <row r="106" spans="1:51" ht="30" customHeight="1" x14ac:dyDescent="0.3">
      <c r="A106" s="5" t="s">
        <v>842</v>
      </c>
      <c r="B106" s="5" t="s">
        <v>843</v>
      </c>
      <c r="C106" s="5" t="s">
        <v>58</v>
      </c>
      <c r="D106" s="6">
        <v>1</v>
      </c>
      <c r="E106" s="11">
        <f>단가대비표!O97</f>
        <v>3316</v>
      </c>
      <c r="F106" s="10">
        <f t="shared" si="26"/>
        <v>3316</v>
      </c>
      <c r="G106" s="11">
        <f>단가대비표!P97</f>
        <v>0</v>
      </c>
      <c r="H106" s="10">
        <f t="shared" si="27"/>
        <v>0</v>
      </c>
      <c r="I106" s="11">
        <f>단가대비표!V97</f>
        <v>0</v>
      </c>
      <c r="J106" s="10">
        <f t="shared" si="28"/>
        <v>0</v>
      </c>
      <c r="K106" s="11">
        <f t="shared" si="29"/>
        <v>3316</v>
      </c>
      <c r="L106" s="10">
        <f t="shared" si="30"/>
        <v>3316</v>
      </c>
      <c r="M106" s="5" t="s">
        <v>51</v>
      </c>
      <c r="N106" s="1" t="s">
        <v>145</v>
      </c>
      <c r="O106" s="1" t="s">
        <v>844</v>
      </c>
      <c r="P106" s="1" t="s">
        <v>60</v>
      </c>
      <c r="Q106" s="1" t="s">
        <v>60</v>
      </c>
      <c r="R106" s="1" t="s">
        <v>61</v>
      </c>
      <c r="AV106" s="1" t="s">
        <v>51</v>
      </c>
      <c r="AW106" s="1" t="s">
        <v>918</v>
      </c>
      <c r="AX106" s="1" t="s">
        <v>51</v>
      </c>
      <c r="AY106" s="1" t="s">
        <v>51</v>
      </c>
    </row>
    <row r="107" spans="1:51" ht="30" customHeight="1" x14ac:dyDescent="0.3">
      <c r="A107" s="5" t="s">
        <v>846</v>
      </c>
      <c r="B107" s="5" t="s">
        <v>847</v>
      </c>
      <c r="C107" s="5" t="s">
        <v>65</v>
      </c>
      <c r="D107" s="6">
        <v>5</v>
      </c>
      <c r="E107" s="11">
        <f>단가대비표!O20</f>
        <v>5377</v>
      </c>
      <c r="F107" s="10">
        <f t="shared" si="26"/>
        <v>26885</v>
      </c>
      <c r="G107" s="11">
        <f>단가대비표!P20</f>
        <v>0</v>
      </c>
      <c r="H107" s="10">
        <f t="shared" si="27"/>
        <v>0</v>
      </c>
      <c r="I107" s="11">
        <f>단가대비표!V20</f>
        <v>0</v>
      </c>
      <c r="J107" s="10">
        <f t="shared" si="28"/>
        <v>0</v>
      </c>
      <c r="K107" s="11">
        <f t="shared" si="29"/>
        <v>5377</v>
      </c>
      <c r="L107" s="10">
        <f t="shared" si="30"/>
        <v>26885</v>
      </c>
      <c r="M107" s="5" t="s">
        <v>51</v>
      </c>
      <c r="N107" s="1" t="s">
        <v>145</v>
      </c>
      <c r="O107" s="1" t="s">
        <v>848</v>
      </c>
      <c r="P107" s="1" t="s">
        <v>60</v>
      </c>
      <c r="Q107" s="1" t="s">
        <v>60</v>
      </c>
      <c r="R107" s="1" t="s">
        <v>61</v>
      </c>
      <c r="AV107" s="1" t="s">
        <v>51</v>
      </c>
      <c r="AW107" s="1" t="s">
        <v>919</v>
      </c>
      <c r="AX107" s="1" t="s">
        <v>51</v>
      </c>
      <c r="AY107" s="1" t="s">
        <v>51</v>
      </c>
    </row>
    <row r="108" spans="1:51" ht="30" customHeight="1" x14ac:dyDescent="0.3">
      <c r="A108" s="5" t="s">
        <v>850</v>
      </c>
      <c r="B108" s="5" t="s">
        <v>851</v>
      </c>
      <c r="C108" s="5" t="s">
        <v>58</v>
      </c>
      <c r="D108" s="6">
        <v>2</v>
      </c>
      <c r="E108" s="11">
        <f>단가대비표!O105</f>
        <v>0</v>
      </c>
      <c r="F108" s="10">
        <f t="shared" si="26"/>
        <v>0</v>
      </c>
      <c r="G108" s="11">
        <f>단가대비표!P105</f>
        <v>0</v>
      </c>
      <c r="H108" s="10">
        <f t="shared" si="27"/>
        <v>0</v>
      </c>
      <c r="I108" s="11">
        <f>단가대비표!V105</f>
        <v>0</v>
      </c>
      <c r="J108" s="10">
        <f t="shared" si="28"/>
        <v>0</v>
      </c>
      <c r="K108" s="11">
        <f t="shared" si="29"/>
        <v>0</v>
      </c>
      <c r="L108" s="10">
        <f t="shared" si="30"/>
        <v>0</v>
      </c>
      <c r="M108" s="5" t="s">
        <v>51</v>
      </c>
      <c r="N108" s="1" t="s">
        <v>145</v>
      </c>
      <c r="O108" s="1" t="s">
        <v>852</v>
      </c>
      <c r="P108" s="1" t="s">
        <v>60</v>
      </c>
      <c r="Q108" s="1" t="s">
        <v>60</v>
      </c>
      <c r="R108" s="1" t="s">
        <v>61</v>
      </c>
      <c r="AV108" s="1" t="s">
        <v>51</v>
      </c>
      <c r="AW108" s="1" t="s">
        <v>920</v>
      </c>
      <c r="AX108" s="1" t="s">
        <v>51</v>
      </c>
      <c r="AY108" s="1" t="s">
        <v>51</v>
      </c>
    </row>
    <row r="109" spans="1:51" ht="30" customHeight="1" x14ac:dyDescent="0.3">
      <c r="A109" s="5" t="s">
        <v>850</v>
      </c>
      <c r="B109" s="5" t="s">
        <v>854</v>
      </c>
      <c r="C109" s="5" t="s">
        <v>58</v>
      </c>
      <c r="D109" s="6">
        <v>2</v>
      </c>
      <c r="E109" s="11">
        <f>단가대비표!O104</f>
        <v>0</v>
      </c>
      <c r="F109" s="10">
        <f t="shared" si="26"/>
        <v>0</v>
      </c>
      <c r="G109" s="11">
        <f>단가대비표!P104</f>
        <v>0</v>
      </c>
      <c r="H109" s="10">
        <f t="shared" si="27"/>
        <v>0</v>
      </c>
      <c r="I109" s="11">
        <f>단가대비표!V104</f>
        <v>0</v>
      </c>
      <c r="J109" s="10">
        <f t="shared" si="28"/>
        <v>0</v>
      </c>
      <c r="K109" s="11">
        <f t="shared" si="29"/>
        <v>0</v>
      </c>
      <c r="L109" s="10">
        <f t="shared" si="30"/>
        <v>0</v>
      </c>
      <c r="M109" s="5" t="s">
        <v>51</v>
      </c>
      <c r="N109" s="1" t="s">
        <v>145</v>
      </c>
      <c r="O109" s="1" t="s">
        <v>855</v>
      </c>
      <c r="P109" s="1" t="s">
        <v>60</v>
      </c>
      <c r="Q109" s="1" t="s">
        <v>60</v>
      </c>
      <c r="R109" s="1" t="s">
        <v>61</v>
      </c>
      <c r="AV109" s="1" t="s">
        <v>51</v>
      </c>
      <c r="AW109" s="1" t="s">
        <v>921</v>
      </c>
      <c r="AX109" s="1" t="s">
        <v>51</v>
      </c>
      <c r="AY109" s="1" t="s">
        <v>51</v>
      </c>
    </row>
    <row r="110" spans="1:51" ht="30" customHeight="1" x14ac:dyDescent="0.3">
      <c r="A110" s="5" t="s">
        <v>775</v>
      </c>
      <c r="B110" s="5" t="s">
        <v>857</v>
      </c>
      <c r="C110" s="5" t="s">
        <v>58</v>
      </c>
      <c r="D110" s="6">
        <v>4</v>
      </c>
      <c r="E110" s="11">
        <f>단가대비표!O110</f>
        <v>0</v>
      </c>
      <c r="F110" s="10">
        <f t="shared" si="26"/>
        <v>0</v>
      </c>
      <c r="G110" s="11">
        <f>단가대비표!P110</f>
        <v>0</v>
      </c>
      <c r="H110" s="10">
        <f t="shared" si="27"/>
        <v>0</v>
      </c>
      <c r="I110" s="11">
        <f>단가대비표!V110</f>
        <v>0</v>
      </c>
      <c r="J110" s="10">
        <f t="shared" si="28"/>
        <v>0</v>
      </c>
      <c r="K110" s="11">
        <f t="shared" si="29"/>
        <v>0</v>
      </c>
      <c r="L110" s="10">
        <f t="shared" si="30"/>
        <v>0</v>
      </c>
      <c r="M110" s="5" t="s">
        <v>51</v>
      </c>
      <c r="N110" s="1" t="s">
        <v>145</v>
      </c>
      <c r="O110" s="1" t="s">
        <v>858</v>
      </c>
      <c r="P110" s="1" t="s">
        <v>60</v>
      </c>
      <c r="Q110" s="1" t="s">
        <v>60</v>
      </c>
      <c r="R110" s="1" t="s">
        <v>61</v>
      </c>
      <c r="AV110" s="1" t="s">
        <v>51</v>
      </c>
      <c r="AW110" s="1" t="s">
        <v>922</v>
      </c>
      <c r="AX110" s="1" t="s">
        <v>51</v>
      </c>
      <c r="AY110" s="1" t="s">
        <v>51</v>
      </c>
    </row>
    <row r="111" spans="1:51" ht="30" customHeight="1" x14ac:dyDescent="0.3">
      <c r="A111" s="5" t="s">
        <v>775</v>
      </c>
      <c r="B111" s="5" t="s">
        <v>860</v>
      </c>
      <c r="C111" s="5" t="s">
        <v>58</v>
      </c>
      <c r="D111" s="6">
        <v>4</v>
      </c>
      <c r="E111" s="11">
        <f>단가대비표!O109</f>
        <v>1300</v>
      </c>
      <c r="F111" s="10">
        <f t="shared" si="26"/>
        <v>5200</v>
      </c>
      <c r="G111" s="11">
        <f>단가대비표!P109</f>
        <v>0</v>
      </c>
      <c r="H111" s="10">
        <f t="shared" si="27"/>
        <v>0</v>
      </c>
      <c r="I111" s="11">
        <f>단가대비표!V109</f>
        <v>0</v>
      </c>
      <c r="J111" s="10">
        <f t="shared" si="28"/>
        <v>0</v>
      </c>
      <c r="K111" s="11">
        <f t="shared" si="29"/>
        <v>1300</v>
      </c>
      <c r="L111" s="10">
        <f t="shared" si="30"/>
        <v>5200</v>
      </c>
      <c r="M111" s="5" t="s">
        <v>51</v>
      </c>
      <c r="N111" s="1" t="s">
        <v>145</v>
      </c>
      <c r="O111" s="1" t="s">
        <v>861</v>
      </c>
      <c r="P111" s="1" t="s">
        <v>60</v>
      </c>
      <c r="Q111" s="1" t="s">
        <v>60</v>
      </c>
      <c r="R111" s="1" t="s">
        <v>61</v>
      </c>
      <c r="AV111" s="1" t="s">
        <v>51</v>
      </c>
      <c r="AW111" s="1" t="s">
        <v>923</v>
      </c>
      <c r="AX111" s="1" t="s">
        <v>51</v>
      </c>
      <c r="AY111" s="1" t="s">
        <v>51</v>
      </c>
    </row>
    <row r="112" spans="1:51" ht="30" customHeight="1" x14ac:dyDescent="0.3">
      <c r="A112" s="5" t="s">
        <v>769</v>
      </c>
      <c r="B112" s="5" t="s">
        <v>751</v>
      </c>
      <c r="C112" s="5" t="s">
        <v>752</v>
      </c>
      <c r="D112" s="6">
        <f>공량산출근거서!K58</f>
        <v>0.14499999999999999</v>
      </c>
      <c r="E112" s="11">
        <f>단가대비표!O169</f>
        <v>0</v>
      </c>
      <c r="F112" s="10">
        <f t="shared" si="26"/>
        <v>0</v>
      </c>
      <c r="G112" s="11">
        <f>단가대비표!P169</f>
        <v>273676</v>
      </c>
      <c r="H112" s="10">
        <f t="shared" si="27"/>
        <v>39683.019999999997</v>
      </c>
      <c r="I112" s="11">
        <f>단가대비표!V169</f>
        <v>0</v>
      </c>
      <c r="J112" s="10">
        <f t="shared" si="28"/>
        <v>0</v>
      </c>
      <c r="K112" s="11">
        <f t="shared" si="29"/>
        <v>273676</v>
      </c>
      <c r="L112" s="10">
        <f t="shared" si="30"/>
        <v>39683.019999999997</v>
      </c>
      <c r="M112" s="5" t="s">
        <v>51</v>
      </c>
      <c r="N112" s="1" t="s">
        <v>145</v>
      </c>
      <c r="O112" s="1" t="s">
        <v>770</v>
      </c>
      <c r="P112" s="1" t="s">
        <v>60</v>
      </c>
      <c r="Q112" s="1" t="s">
        <v>60</v>
      </c>
      <c r="R112" s="1" t="s">
        <v>61</v>
      </c>
      <c r="AV112" s="1" t="s">
        <v>51</v>
      </c>
      <c r="AW112" s="1" t="s">
        <v>924</v>
      </c>
      <c r="AX112" s="1" t="s">
        <v>51</v>
      </c>
      <c r="AY112" s="1" t="s">
        <v>51</v>
      </c>
    </row>
    <row r="113" spans="1:51" ht="30" customHeight="1" x14ac:dyDescent="0.3">
      <c r="A113" s="5" t="s">
        <v>750</v>
      </c>
      <c r="B113" s="5" t="s">
        <v>751</v>
      </c>
      <c r="C113" s="5" t="s">
        <v>752</v>
      </c>
      <c r="D113" s="6">
        <f>공량산출근거서!K57</f>
        <v>0.08</v>
      </c>
      <c r="E113" s="11">
        <f>단가대비표!O162</f>
        <v>0</v>
      </c>
      <c r="F113" s="10">
        <f t="shared" si="26"/>
        <v>0</v>
      </c>
      <c r="G113" s="11">
        <f>단가대비표!P162</f>
        <v>172068</v>
      </c>
      <c r="H113" s="10">
        <f t="shared" si="27"/>
        <v>13765.44</v>
      </c>
      <c r="I113" s="11">
        <f>단가대비표!V162</f>
        <v>0</v>
      </c>
      <c r="J113" s="10">
        <f t="shared" si="28"/>
        <v>0</v>
      </c>
      <c r="K113" s="11">
        <f t="shared" si="29"/>
        <v>172068</v>
      </c>
      <c r="L113" s="10">
        <f t="shared" si="30"/>
        <v>13765.44</v>
      </c>
      <c r="M113" s="5" t="s">
        <v>51</v>
      </c>
      <c r="N113" s="1" t="s">
        <v>145</v>
      </c>
      <c r="O113" s="1" t="s">
        <v>753</v>
      </c>
      <c r="P113" s="1" t="s">
        <v>60</v>
      </c>
      <c r="Q113" s="1" t="s">
        <v>60</v>
      </c>
      <c r="R113" s="1" t="s">
        <v>61</v>
      </c>
      <c r="AV113" s="1" t="s">
        <v>51</v>
      </c>
      <c r="AW113" s="1" t="s">
        <v>925</v>
      </c>
      <c r="AX113" s="1" t="s">
        <v>51</v>
      </c>
      <c r="AY113" s="1" t="s">
        <v>51</v>
      </c>
    </row>
    <row r="114" spans="1:51" ht="30" customHeight="1" x14ac:dyDescent="0.3">
      <c r="A114" s="5" t="s">
        <v>865</v>
      </c>
      <c r="B114" s="5" t="s">
        <v>751</v>
      </c>
      <c r="C114" s="5" t="s">
        <v>752</v>
      </c>
      <c r="D114" s="6">
        <v>0.45</v>
      </c>
      <c r="E114" s="11">
        <f>단가대비표!O171</f>
        <v>0</v>
      </c>
      <c r="F114" s="10">
        <f t="shared" si="26"/>
        <v>0</v>
      </c>
      <c r="G114" s="11">
        <f>단가대비표!P171</f>
        <v>304156</v>
      </c>
      <c r="H114" s="10">
        <f t="shared" si="27"/>
        <v>136870.20000000001</v>
      </c>
      <c r="I114" s="11">
        <f>단가대비표!V171</f>
        <v>0</v>
      </c>
      <c r="J114" s="10">
        <f t="shared" si="28"/>
        <v>0</v>
      </c>
      <c r="K114" s="11">
        <f t="shared" si="29"/>
        <v>304156</v>
      </c>
      <c r="L114" s="10">
        <f t="shared" si="30"/>
        <v>136870.20000000001</v>
      </c>
      <c r="M114" s="5" t="s">
        <v>51</v>
      </c>
      <c r="N114" s="1" t="s">
        <v>145</v>
      </c>
      <c r="O114" s="1" t="s">
        <v>866</v>
      </c>
      <c r="P114" s="1" t="s">
        <v>60</v>
      </c>
      <c r="Q114" s="1" t="s">
        <v>60</v>
      </c>
      <c r="R114" s="1" t="s">
        <v>61</v>
      </c>
      <c r="AV114" s="1" t="s">
        <v>51</v>
      </c>
      <c r="AW114" s="1" t="s">
        <v>926</v>
      </c>
      <c r="AX114" s="1" t="s">
        <v>51</v>
      </c>
      <c r="AY114" s="1" t="s">
        <v>51</v>
      </c>
    </row>
    <row r="115" spans="1:51" ht="30" customHeight="1" x14ac:dyDescent="0.3">
      <c r="A115" s="5" t="s">
        <v>868</v>
      </c>
      <c r="B115" s="5" t="s">
        <v>751</v>
      </c>
      <c r="C115" s="5" t="s">
        <v>752</v>
      </c>
      <c r="D115" s="6">
        <v>0.04</v>
      </c>
      <c r="E115" s="11">
        <f>단가대비표!O166</f>
        <v>0</v>
      </c>
      <c r="F115" s="10">
        <f t="shared" si="26"/>
        <v>0</v>
      </c>
      <c r="G115" s="11">
        <f>단가대비표!P166</f>
        <v>211653</v>
      </c>
      <c r="H115" s="10">
        <f t="shared" si="27"/>
        <v>8466.1200000000008</v>
      </c>
      <c r="I115" s="11">
        <f>단가대비표!V166</f>
        <v>0</v>
      </c>
      <c r="J115" s="10">
        <f t="shared" si="28"/>
        <v>0</v>
      </c>
      <c r="K115" s="11">
        <f t="shared" si="29"/>
        <v>211653</v>
      </c>
      <c r="L115" s="10">
        <f t="shared" si="30"/>
        <v>8466.1200000000008</v>
      </c>
      <c r="M115" s="5" t="s">
        <v>51</v>
      </c>
      <c r="N115" s="1" t="s">
        <v>145</v>
      </c>
      <c r="O115" s="1" t="s">
        <v>869</v>
      </c>
      <c r="P115" s="1" t="s">
        <v>60</v>
      </c>
      <c r="Q115" s="1" t="s">
        <v>60</v>
      </c>
      <c r="R115" s="1" t="s">
        <v>61</v>
      </c>
      <c r="AV115" s="1" t="s">
        <v>51</v>
      </c>
      <c r="AW115" s="1" t="s">
        <v>927</v>
      </c>
      <c r="AX115" s="1" t="s">
        <v>51</v>
      </c>
      <c r="AY115" s="1" t="s">
        <v>51</v>
      </c>
    </row>
    <row r="116" spans="1:51" ht="30" customHeight="1" x14ac:dyDescent="0.3">
      <c r="A116" s="5" t="s">
        <v>871</v>
      </c>
      <c r="B116" s="5" t="s">
        <v>751</v>
      </c>
      <c r="C116" s="5" t="s">
        <v>752</v>
      </c>
      <c r="D116" s="6">
        <v>0.06</v>
      </c>
      <c r="E116" s="11">
        <f>단가대비표!O164</f>
        <v>0</v>
      </c>
      <c r="F116" s="10">
        <f t="shared" si="26"/>
        <v>0</v>
      </c>
      <c r="G116" s="11">
        <f>단가대비표!P164</f>
        <v>239808</v>
      </c>
      <c r="H116" s="10">
        <f t="shared" si="27"/>
        <v>14388.48</v>
      </c>
      <c r="I116" s="11">
        <f>단가대비표!V164</f>
        <v>0</v>
      </c>
      <c r="J116" s="10">
        <f t="shared" si="28"/>
        <v>0</v>
      </c>
      <c r="K116" s="11">
        <f t="shared" si="29"/>
        <v>239808</v>
      </c>
      <c r="L116" s="10">
        <f t="shared" si="30"/>
        <v>14388.48</v>
      </c>
      <c r="M116" s="5" t="s">
        <v>51</v>
      </c>
      <c r="N116" s="1" t="s">
        <v>145</v>
      </c>
      <c r="O116" s="1" t="s">
        <v>872</v>
      </c>
      <c r="P116" s="1" t="s">
        <v>60</v>
      </c>
      <c r="Q116" s="1" t="s">
        <v>60</v>
      </c>
      <c r="R116" s="1" t="s">
        <v>61</v>
      </c>
      <c r="AV116" s="1" t="s">
        <v>51</v>
      </c>
      <c r="AW116" s="1" t="s">
        <v>928</v>
      </c>
      <c r="AX116" s="1" t="s">
        <v>51</v>
      </c>
      <c r="AY116" s="1" t="s">
        <v>51</v>
      </c>
    </row>
    <row r="117" spans="1:51" ht="30" customHeight="1" x14ac:dyDescent="0.3">
      <c r="A117" s="5" t="s">
        <v>874</v>
      </c>
      <c r="B117" s="5" t="s">
        <v>751</v>
      </c>
      <c r="C117" s="5" t="s">
        <v>752</v>
      </c>
      <c r="D117" s="6">
        <v>0.09</v>
      </c>
      <c r="E117" s="11">
        <f>단가대비표!O163</f>
        <v>0</v>
      </c>
      <c r="F117" s="10">
        <f t="shared" si="26"/>
        <v>0</v>
      </c>
      <c r="G117" s="11">
        <f>단가대비표!P163</f>
        <v>226122</v>
      </c>
      <c r="H117" s="10">
        <f t="shared" si="27"/>
        <v>20350.98</v>
      </c>
      <c r="I117" s="11">
        <f>단가대비표!V163</f>
        <v>0</v>
      </c>
      <c r="J117" s="10">
        <f t="shared" si="28"/>
        <v>0</v>
      </c>
      <c r="K117" s="11">
        <f t="shared" si="29"/>
        <v>226122</v>
      </c>
      <c r="L117" s="10">
        <f t="shared" si="30"/>
        <v>20350.98</v>
      </c>
      <c r="M117" s="5" t="s">
        <v>51</v>
      </c>
      <c r="N117" s="1" t="s">
        <v>145</v>
      </c>
      <c r="O117" s="1" t="s">
        <v>875</v>
      </c>
      <c r="P117" s="1" t="s">
        <v>60</v>
      </c>
      <c r="Q117" s="1" t="s">
        <v>60</v>
      </c>
      <c r="R117" s="1" t="s">
        <v>61</v>
      </c>
      <c r="AV117" s="1" t="s">
        <v>51</v>
      </c>
      <c r="AW117" s="1" t="s">
        <v>929</v>
      </c>
      <c r="AX117" s="1" t="s">
        <v>51</v>
      </c>
      <c r="AY117" s="1" t="s">
        <v>51</v>
      </c>
    </row>
    <row r="118" spans="1:51" ht="30" customHeight="1" x14ac:dyDescent="0.3">
      <c r="A118" s="5" t="s">
        <v>877</v>
      </c>
      <c r="B118" s="5" t="s">
        <v>878</v>
      </c>
      <c r="C118" s="5" t="s">
        <v>752</v>
      </c>
      <c r="D118" s="6">
        <v>2.98E-2</v>
      </c>
      <c r="E118" s="11">
        <f>단가대비표!O173</f>
        <v>0</v>
      </c>
      <c r="F118" s="10">
        <f t="shared" si="26"/>
        <v>0</v>
      </c>
      <c r="G118" s="11">
        <f>단가대비표!P173</f>
        <v>485075</v>
      </c>
      <c r="H118" s="10">
        <f t="shared" si="27"/>
        <v>14455.23</v>
      </c>
      <c r="I118" s="11">
        <f>단가대비표!V173</f>
        <v>0</v>
      </c>
      <c r="J118" s="10">
        <f t="shared" si="28"/>
        <v>0</v>
      </c>
      <c r="K118" s="11">
        <f t="shared" si="29"/>
        <v>485075</v>
      </c>
      <c r="L118" s="10">
        <f t="shared" si="30"/>
        <v>14455.23</v>
      </c>
      <c r="M118" s="5" t="s">
        <v>51</v>
      </c>
      <c r="N118" s="1" t="s">
        <v>145</v>
      </c>
      <c r="O118" s="1" t="s">
        <v>879</v>
      </c>
      <c r="P118" s="1" t="s">
        <v>60</v>
      </c>
      <c r="Q118" s="1" t="s">
        <v>60</v>
      </c>
      <c r="R118" s="1" t="s">
        <v>61</v>
      </c>
      <c r="AV118" s="1" t="s">
        <v>51</v>
      </c>
      <c r="AW118" s="1" t="s">
        <v>930</v>
      </c>
      <c r="AX118" s="1" t="s">
        <v>51</v>
      </c>
      <c r="AY118" s="1" t="s">
        <v>51</v>
      </c>
    </row>
    <row r="119" spans="1:51" ht="30" customHeight="1" x14ac:dyDescent="0.3">
      <c r="A119" s="5" t="s">
        <v>762</v>
      </c>
      <c r="B119" s="5" t="s">
        <v>51</v>
      </c>
      <c r="C119" s="5" t="s">
        <v>51</v>
      </c>
      <c r="D119" s="6"/>
      <c r="E119" s="11"/>
      <c r="F119" s="10">
        <f>TRUNC(SUMIF(N100:N118, N99, F100:F118),0)</f>
        <v>641450</v>
      </c>
      <c r="G119" s="11"/>
      <c r="H119" s="10">
        <f>TRUNC(SUMIF(N100:N118, N99, H100:H118),0)</f>
        <v>434385</v>
      </c>
      <c r="I119" s="11"/>
      <c r="J119" s="10">
        <f>TRUNC(SUMIF(N100:N118, N99, J100:J118),0)</f>
        <v>1730</v>
      </c>
      <c r="K119" s="11"/>
      <c r="L119" s="10">
        <f>F119+H119+J119</f>
        <v>1077565</v>
      </c>
      <c r="M119" s="5" t="s">
        <v>51</v>
      </c>
      <c r="N119" s="1" t="s">
        <v>208</v>
      </c>
      <c r="O119" s="1" t="s">
        <v>208</v>
      </c>
      <c r="P119" s="1" t="s">
        <v>51</v>
      </c>
      <c r="Q119" s="1" t="s">
        <v>51</v>
      </c>
      <c r="R119" s="1" t="s">
        <v>51</v>
      </c>
      <c r="AV119" s="1" t="s">
        <v>51</v>
      </c>
      <c r="AW119" s="1" t="s">
        <v>51</v>
      </c>
      <c r="AX119" s="1" t="s">
        <v>51</v>
      </c>
      <c r="AY119" s="1" t="s">
        <v>51</v>
      </c>
    </row>
    <row r="120" spans="1:51" ht="30" customHeight="1" x14ac:dyDescent="0.3">
      <c r="A120" s="6"/>
      <c r="B120" s="6"/>
      <c r="C120" s="6"/>
      <c r="D120" s="6"/>
      <c r="E120" s="11"/>
      <c r="F120" s="10"/>
      <c r="G120" s="11"/>
      <c r="H120" s="10"/>
      <c r="I120" s="11"/>
      <c r="J120" s="10"/>
      <c r="K120" s="11"/>
      <c r="L120" s="10"/>
      <c r="M120" s="6"/>
    </row>
    <row r="121" spans="1:51" ht="30" customHeight="1" x14ac:dyDescent="0.3">
      <c r="A121" s="37" t="s">
        <v>931</v>
      </c>
      <c r="B121" s="37"/>
      <c r="C121" s="37"/>
      <c r="D121" s="37"/>
      <c r="E121" s="38"/>
      <c r="F121" s="39"/>
      <c r="G121" s="38"/>
      <c r="H121" s="39"/>
      <c r="I121" s="38"/>
      <c r="J121" s="39"/>
      <c r="K121" s="38"/>
      <c r="L121" s="39"/>
      <c r="M121" s="37"/>
      <c r="N121" s="1" t="s">
        <v>150</v>
      </c>
    </row>
    <row r="122" spans="1:51" ht="30" customHeight="1" x14ac:dyDescent="0.3">
      <c r="A122" s="5" t="s">
        <v>147</v>
      </c>
      <c r="B122" s="5" t="s">
        <v>932</v>
      </c>
      <c r="C122" s="5" t="s">
        <v>65</v>
      </c>
      <c r="D122" s="6">
        <v>1</v>
      </c>
      <c r="E122" s="11">
        <f>단가대비표!O128</f>
        <v>350</v>
      </c>
      <c r="F122" s="10">
        <f t="shared" ref="F122:F127" si="31">TRUNC(E122*D122,2)</f>
        <v>350</v>
      </c>
      <c r="G122" s="11">
        <f>단가대비표!P128</f>
        <v>0</v>
      </c>
      <c r="H122" s="10">
        <f t="shared" ref="H122:H127" si="32">TRUNC(G122*D122,2)</f>
        <v>0</v>
      </c>
      <c r="I122" s="11">
        <f>단가대비표!V128</f>
        <v>0</v>
      </c>
      <c r="J122" s="10">
        <f t="shared" ref="J122:J127" si="33">TRUNC(I122*D122,2)</f>
        <v>0</v>
      </c>
      <c r="K122" s="11">
        <f t="shared" ref="K122:L127" si="34">TRUNC(E122+G122+I122,2)</f>
        <v>350</v>
      </c>
      <c r="L122" s="10">
        <f t="shared" si="34"/>
        <v>350</v>
      </c>
      <c r="M122" s="5" t="s">
        <v>51</v>
      </c>
      <c r="N122" s="1" t="s">
        <v>150</v>
      </c>
      <c r="O122" s="1" t="s">
        <v>933</v>
      </c>
      <c r="P122" s="1" t="s">
        <v>60</v>
      </c>
      <c r="Q122" s="1" t="s">
        <v>60</v>
      </c>
      <c r="R122" s="1" t="s">
        <v>61</v>
      </c>
      <c r="V122">
        <v>1</v>
      </c>
      <c r="W122">
        <v>2</v>
      </c>
      <c r="AV122" s="1" t="s">
        <v>51</v>
      </c>
      <c r="AW122" s="1" t="s">
        <v>934</v>
      </c>
      <c r="AX122" s="1" t="s">
        <v>51</v>
      </c>
      <c r="AY122" s="1" t="s">
        <v>51</v>
      </c>
    </row>
    <row r="123" spans="1:51" ht="30" customHeight="1" x14ac:dyDescent="0.3">
      <c r="A123" s="5" t="s">
        <v>147</v>
      </c>
      <c r="B123" s="5" t="s">
        <v>932</v>
      </c>
      <c r="C123" s="5" t="s">
        <v>65</v>
      </c>
      <c r="D123" s="6">
        <v>0.1</v>
      </c>
      <c r="E123" s="11">
        <f>단가대비표!O128</f>
        <v>350</v>
      </c>
      <c r="F123" s="10">
        <f t="shared" si="31"/>
        <v>35</v>
      </c>
      <c r="G123" s="11">
        <f>단가대비표!P128</f>
        <v>0</v>
      </c>
      <c r="H123" s="10">
        <f t="shared" si="32"/>
        <v>0</v>
      </c>
      <c r="I123" s="11">
        <f>단가대비표!V128</f>
        <v>0</v>
      </c>
      <c r="J123" s="10">
        <f t="shared" si="33"/>
        <v>0</v>
      </c>
      <c r="K123" s="11">
        <f t="shared" si="34"/>
        <v>350</v>
      </c>
      <c r="L123" s="10">
        <f t="shared" si="34"/>
        <v>35</v>
      </c>
      <c r="M123" s="5" t="s">
        <v>51</v>
      </c>
      <c r="N123" s="1" t="s">
        <v>150</v>
      </c>
      <c r="O123" s="1" t="s">
        <v>933</v>
      </c>
      <c r="P123" s="1" t="s">
        <v>60</v>
      </c>
      <c r="Q123" s="1" t="s">
        <v>60</v>
      </c>
      <c r="R123" s="1" t="s">
        <v>61</v>
      </c>
      <c r="AV123" s="1" t="s">
        <v>51</v>
      </c>
      <c r="AW123" s="1" t="s">
        <v>934</v>
      </c>
      <c r="AX123" s="1" t="s">
        <v>51</v>
      </c>
      <c r="AY123" s="1" t="s">
        <v>51</v>
      </c>
    </row>
    <row r="124" spans="1:51" ht="30" customHeight="1" x14ac:dyDescent="0.3">
      <c r="A124" s="5" t="s">
        <v>743</v>
      </c>
      <c r="B124" s="5" t="s">
        <v>744</v>
      </c>
      <c r="C124" s="5" t="s">
        <v>631</v>
      </c>
      <c r="D124" s="6">
        <v>1</v>
      </c>
      <c r="E124" s="11">
        <f>TRUNC(SUMIF(V122:V127, RIGHTB(O124, 1), F122:F127)*U124, 2)</f>
        <v>52.5</v>
      </c>
      <c r="F124" s="10">
        <f t="shared" si="31"/>
        <v>52.5</v>
      </c>
      <c r="G124" s="11">
        <v>0</v>
      </c>
      <c r="H124" s="10">
        <f t="shared" si="32"/>
        <v>0</v>
      </c>
      <c r="I124" s="11">
        <v>0</v>
      </c>
      <c r="J124" s="10">
        <f t="shared" si="33"/>
        <v>0</v>
      </c>
      <c r="K124" s="11">
        <f t="shared" si="34"/>
        <v>52.5</v>
      </c>
      <c r="L124" s="10">
        <f t="shared" si="34"/>
        <v>52.5</v>
      </c>
      <c r="M124" s="5" t="s">
        <v>51</v>
      </c>
      <c r="N124" s="1" t="s">
        <v>150</v>
      </c>
      <c r="O124" s="1" t="s">
        <v>657</v>
      </c>
      <c r="P124" s="1" t="s">
        <v>60</v>
      </c>
      <c r="Q124" s="1" t="s">
        <v>60</v>
      </c>
      <c r="R124" s="1" t="s">
        <v>60</v>
      </c>
      <c r="S124">
        <v>0</v>
      </c>
      <c r="T124">
        <v>0</v>
      </c>
      <c r="U124">
        <v>0.15</v>
      </c>
      <c r="AV124" s="1" t="s">
        <v>51</v>
      </c>
      <c r="AW124" s="1" t="s">
        <v>935</v>
      </c>
      <c r="AX124" s="1" t="s">
        <v>51</v>
      </c>
      <c r="AY124" s="1" t="s">
        <v>51</v>
      </c>
    </row>
    <row r="125" spans="1:51" ht="30" customHeight="1" x14ac:dyDescent="0.3">
      <c r="A125" s="5" t="s">
        <v>746</v>
      </c>
      <c r="B125" s="5" t="s">
        <v>786</v>
      </c>
      <c r="C125" s="5" t="s">
        <v>631</v>
      </c>
      <c r="D125" s="6">
        <v>1</v>
      </c>
      <c r="E125" s="11">
        <f>TRUNC(SUMIF(W122:W127, RIGHTB(O125, 1), F122:F127)*U125, 2)</f>
        <v>7</v>
      </c>
      <c r="F125" s="10">
        <f t="shared" si="31"/>
        <v>7</v>
      </c>
      <c r="G125" s="11">
        <v>0</v>
      </c>
      <c r="H125" s="10">
        <f t="shared" si="32"/>
        <v>0</v>
      </c>
      <c r="I125" s="11">
        <v>0</v>
      </c>
      <c r="J125" s="10">
        <f t="shared" si="33"/>
        <v>0</v>
      </c>
      <c r="K125" s="11">
        <f t="shared" si="34"/>
        <v>7</v>
      </c>
      <c r="L125" s="10">
        <f t="shared" si="34"/>
        <v>7</v>
      </c>
      <c r="M125" s="5" t="s">
        <v>51</v>
      </c>
      <c r="N125" s="1" t="s">
        <v>150</v>
      </c>
      <c r="O125" s="1" t="s">
        <v>748</v>
      </c>
      <c r="P125" s="1" t="s">
        <v>60</v>
      </c>
      <c r="Q125" s="1" t="s">
        <v>60</v>
      </c>
      <c r="R125" s="1" t="s">
        <v>60</v>
      </c>
      <c r="S125">
        <v>0</v>
      </c>
      <c r="T125">
        <v>0</v>
      </c>
      <c r="U125">
        <v>0.02</v>
      </c>
      <c r="AV125" s="1" t="s">
        <v>51</v>
      </c>
      <c r="AW125" s="1" t="s">
        <v>936</v>
      </c>
      <c r="AX125" s="1" t="s">
        <v>51</v>
      </c>
      <c r="AY125" s="1" t="s">
        <v>51</v>
      </c>
    </row>
    <row r="126" spans="1:51" ht="30" customHeight="1" x14ac:dyDescent="0.3">
      <c r="A126" s="5" t="s">
        <v>769</v>
      </c>
      <c r="B126" s="5" t="s">
        <v>751</v>
      </c>
      <c r="C126" s="5" t="s">
        <v>752</v>
      </c>
      <c r="D126" s="6">
        <f>공량산출근거서!K62</f>
        <v>5.3999999999999999E-2</v>
      </c>
      <c r="E126" s="11">
        <f>단가대비표!O169</f>
        <v>0</v>
      </c>
      <c r="F126" s="10">
        <f t="shared" si="31"/>
        <v>0</v>
      </c>
      <c r="G126" s="11">
        <f>단가대비표!P169</f>
        <v>273676</v>
      </c>
      <c r="H126" s="10">
        <f t="shared" si="32"/>
        <v>14778.5</v>
      </c>
      <c r="I126" s="11">
        <f>단가대비표!V169</f>
        <v>0</v>
      </c>
      <c r="J126" s="10">
        <f t="shared" si="33"/>
        <v>0</v>
      </c>
      <c r="K126" s="11">
        <f t="shared" si="34"/>
        <v>273676</v>
      </c>
      <c r="L126" s="10">
        <f t="shared" si="34"/>
        <v>14778.5</v>
      </c>
      <c r="M126" s="5" t="s">
        <v>51</v>
      </c>
      <c r="N126" s="1" t="s">
        <v>150</v>
      </c>
      <c r="O126" s="1" t="s">
        <v>770</v>
      </c>
      <c r="P126" s="1" t="s">
        <v>60</v>
      </c>
      <c r="Q126" s="1" t="s">
        <v>60</v>
      </c>
      <c r="R126" s="1" t="s">
        <v>61</v>
      </c>
      <c r="X126">
        <v>3</v>
      </c>
      <c r="AV126" s="1" t="s">
        <v>51</v>
      </c>
      <c r="AW126" s="1" t="s">
        <v>937</v>
      </c>
      <c r="AX126" s="1" t="s">
        <v>51</v>
      </c>
      <c r="AY126" s="1" t="s">
        <v>51</v>
      </c>
    </row>
    <row r="127" spans="1:51" ht="30" customHeight="1" x14ac:dyDescent="0.3">
      <c r="A127" s="5" t="s">
        <v>758</v>
      </c>
      <c r="B127" s="5" t="s">
        <v>759</v>
      </c>
      <c r="C127" s="5" t="s">
        <v>631</v>
      </c>
      <c r="D127" s="6">
        <v>1</v>
      </c>
      <c r="E127" s="11">
        <f>TRUNC(SUMIF(X122:X127, RIGHTB(O127, 1), H122:H127)*U127, 2)</f>
        <v>443.35</v>
      </c>
      <c r="F127" s="10">
        <f t="shared" si="31"/>
        <v>443.35</v>
      </c>
      <c r="G127" s="11">
        <v>0</v>
      </c>
      <c r="H127" s="10">
        <f t="shared" si="32"/>
        <v>0</v>
      </c>
      <c r="I127" s="11">
        <v>0</v>
      </c>
      <c r="J127" s="10">
        <f t="shared" si="33"/>
        <v>0</v>
      </c>
      <c r="K127" s="11">
        <f t="shared" si="34"/>
        <v>443.35</v>
      </c>
      <c r="L127" s="10">
        <f t="shared" si="34"/>
        <v>443.35</v>
      </c>
      <c r="M127" s="5" t="s">
        <v>51</v>
      </c>
      <c r="N127" s="1" t="s">
        <v>150</v>
      </c>
      <c r="O127" s="1" t="s">
        <v>760</v>
      </c>
      <c r="P127" s="1" t="s">
        <v>60</v>
      </c>
      <c r="Q127" s="1" t="s">
        <v>60</v>
      </c>
      <c r="R127" s="1" t="s">
        <v>60</v>
      </c>
      <c r="S127">
        <v>1</v>
      </c>
      <c r="T127">
        <v>0</v>
      </c>
      <c r="U127">
        <v>0.03</v>
      </c>
      <c r="AV127" s="1" t="s">
        <v>51</v>
      </c>
      <c r="AW127" s="1" t="s">
        <v>938</v>
      </c>
      <c r="AX127" s="1" t="s">
        <v>51</v>
      </c>
      <c r="AY127" s="1" t="s">
        <v>51</v>
      </c>
    </row>
    <row r="128" spans="1:51" ht="30" customHeight="1" x14ac:dyDescent="0.3">
      <c r="A128" s="5" t="s">
        <v>762</v>
      </c>
      <c r="B128" s="5" t="s">
        <v>51</v>
      </c>
      <c r="C128" s="5" t="s">
        <v>51</v>
      </c>
      <c r="D128" s="6"/>
      <c r="E128" s="11"/>
      <c r="F128" s="10">
        <f>TRUNC(SUMIF(N122:N127, N121, F122:F127),0)</f>
        <v>887</v>
      </c>
      <c r="G128" s="11"/>
      <c r="H128" s="10">
        <f>TRUNC(SUMIF(N122:N127, N121, H122:H127),0)</f>
        <v>14778</v>
      </c>
      <c r="I128" s="11"/>
      <c r="J128" s="10">
        <f>TRUNC(SUMIF(N122:N127, N121, J122:J127),0)</f>
        <v>0</v>
      </c>
      <c r="K128" s="11"/>
      <c r="L128" s="10">
        <f>F128+H128+J128</f>
        <v>15665</v>
      </c>
      <c r="M128" s="5" t="s">
        <v>51</v>
      </c>
      <c r="N128" s="1" t="s">
        <v>208</v>
      </c>
      <c r="O128" s="1" t="s">
        <v>208</v>
      </c>
      <c r="P128" s="1" t="s">
        <v>51</v>
      </c>
      <c r="Q128" s="1" t="s">
        <v>51</v>
      </c>
      <c r="R128" s="1" t="s">
        <v>51</v>
      </c>
      <c r="AV128" s="1" t="s">
        <v>51</v>
      </c>
      <c r="AW128" s="1" t="s">
        <v>51</v>
      </c>
      <c r="AX128" s="1" t="s">
        <v>51</v>
      </c>
      <c r="AY128" s="1" t="s">
        <v>51</v>
      </c>
    </row>
    <row r="129" spans="1:51" ht="30" customHeight="1" x14ac:dyDescent="0.3">
      <c r="A129" s="6"/>
      <c r="B129" s="6"/>
      <c r="C129" s="6"/>
      <c r="D129" s="6"/>
      <c r="E129" s="11"/>
      <c r="F129" s="10"/>
      <c r="G129" s="11"/>
      <c r="H129" s="10"/>
      <c r="I129" s="11"/>
      <c r="J129" s="10"/>
      <c r="K129" s="11"/>
      <c r="L129" s="10"/>
      <c r="M129" s="6"/>
    </row>
    <row r="130" spans="1:51" ht="30" customHeight="1" x14ac:dyDescent="0.3">
      <c r="A130" s="37" t="s">
        <v>939</v>
      </c>
      <c r="B130" s="37"/>
      <c r="C130" s="37"/>
      <c r="D130" s="37"/>
      <c r="E130" s="38"/>
      <c r="F130" s="39"/>
      <c r="G130" s="38"/>
      <c r="H130" s="39"/>
      <c r="I130" s="38"/>
      <c r="J130" s="39"/>
      <c r="K130" s="38"/>
      <c r="L130" s="39"/>
      <c r="M130" s="37"/>
      <c r="N130" s="1" t="s">
        <v>154</v>
      </c>
    </row>
    <row r="131" spans="1:51" ht="30" customHeight="1" x14ac:dyDescent="0.3">
      <c r="A131" s="5" t="s">
        <v>147</v>
      </c>
      <c r="B131" s="5" t="s">
        <v>940</v>
      </c>
      <c r="C131" s="5" t="s">
        <v>65</v>
      </c>
      <c r="D131" s="6">
        <v>1</v>
      </c>
      <c r="E131" s="11">
        <f>단가대비표!O129</f>
        <v>700</v>
      </c>
      <c r="F131" s="10">
        <f t="shared" ref="F131:F136" si="35">TRUNC(E131*D131,2)</f>
        <v>700</v>
      </c>
      <c r="G131" s="11">
        <f>단가대비표!P129</f>
        <v>0</v>
      </c>
      <c r="H131" s="10">
        <f t="shared" ref="H131:H136" si="36">TRUNC(G131*D131,2)</f>
        <v>0</v>
      </c>
      <c r="I131" s="11">
        <f>단가대비표!V129</f>
        <v>0</v>
      </c>
      <c r="J131" s="10">
        <f t="shared" ref="J131:J136" si="37">TRUNC(I131*D131,2)</f>
        <v>0</v>
      </c>
      <c r="K131" s="11">
        <f t="shared" ref="K131:L136" si="38">TRUNC(E131+G131+I131,2)</f>
        <v>700</v>
      </c>
      <c r="L131" s="10">
        <f t="shared" si="38"/>
        <v>700</v>
      </c>
      <c r="M131" s="5" t="s">
        <v>51</v>
      </c>
      <c r="N131" s="1" t="s">
        <v>154</v>
      </c>
      <c r="O131" s="1" t="s">
        <v>941</v>
      </c>
      <c r="P131" s="1" t="s">
        <v>60</v>
      </c>
      <c r="Q131" s="1" t="s">
        <v>60</v>
      </c>
      <c r="R131" s="1" t="s">
        <v>61</v>
      </c>
      <c r="V131">
        <v>1</v>
      </c>
      <c r="W131">
        <v>2</v>
      </c>
      <c r="AV131" s="1" t="s">
        <v>51</v>
      </c>
      <c r="AW131" s="1" t="s">
        <v>942</v>
      </c>
      <c r="AX131" s="1" t="s">
        <v>51</v>
      </c>
      <c r="AY131" s="1" t="s">
        <v>51</v>
      </c>
    </row>
    <row r="132" spans="1:51" ht="30" customHeight="1" x14ac:dyDescent="0.3">
      <c r="A132" s="5" t="s">
        <v>147</v>
      </c>
      <c r="B132" s="5" t="s">
        <v>940</v>
      </c>
      <c r="C132" s="5" t="s">
        <v>65</v>
      </c>
      <c r="D132" s="6">
        <v>0.1</v>
      </c>
      <c r="E132" s="11">
        <f>단가대비표!O129</f>
        <v>700</v>
      </c>
      <c r="F132" s="10">
        <f t="shared" si="35"/>
        <v>70</v>
      </c>
      <c r="G132" s="11">
        <f>단가대비표!P129</f>
        <v>0</v>
      </c>
      <c r="H132" s="10">
        <f t="shared" si="36"/>
        <v>0</v>
      </c>
      <c r="I132" s="11">
        <f>단가대비표!V129</f>
        <v>0</v>
      </c>
      <c r="J132" s="10">
        <f t="shared" si="37"/>
        <v>0</v>
      </c>
      <c r="K132" s="11">
        <f t="shared" si="38"/>
        <v>700</v>
      </c>
      <c r="L132" s="10">
        <f t="shared" si="38"/>
        <v>70</v>
      </c>
      <c r="M132" s="5" t="s">
        <v>51</v>
      </c>
      <c r="N132" s="1" t="s">
        <v>154</v>
      </c>
      <c r="O132" s="1" t="s">
        <v>941</v>
      </c>
      <c r="P132" s="1" t="s">
        <v>60</v>
      </c>
      <c r="Q132" s="1" t="s">
        <v>60</v>
      </c>
      <c r="R132" s="1" t="s">
        <v>61</v>
      </c>
      <c r="AV132" s="1" t="s">
        <v>51</v>
      </c>
      <c r="AW132" s="1" t="s">
        <v>942</v>
      </c>
      <c r="AX132" s="1" t="s">
        <v>51</v>
      </c>
      <c r="AY132" s="1" t="s">
        <v>51</v>
      </c>
    </row>
    <row r="133" spans="1:51" ht="30" customHeight="1" x14ac:dyDescent="0.3">
      <c r="A133" s="5" t="s">
        <v>743</v>
      </c>
      <c r="B133" s="5" t="s">
        <v>744</v>
      </c>
      <c r="C133" s="5" t="s">
        <v>631</v>
      </c>
      <c r="D133" s="6">
        <v>1</v>
      </c>
      <c r="E133" s="11">
        <f>TRUNC(SUMIF(V131:V136, RIGHTB(O133, 1), F131:F136)*U133, 2)</f>
        <v>105</v>
      </c>
      <c r="F133" s="10">
        <f t="shared" si="35"/>
        <v>105</v>
      </c>
      <c r="G133" s="11">
        <v>0</v>
      </c>
      <c r="H133" s="10">
        <f t="shared" si="36"/>
        <v>0</v>
      </c>
      <c r="I133" s="11">
        <v>0</v>
      </c>
      <c r="J133" s="10">
        <f t="shared" si="37"/>
        <v>0</v>
      </c>
      <c r="K133" s="11">
        <f t="shared" si="38"/>
        <v>105</v>
      </c>
      <c r="L133" s="10">
        <f t="shared" si="38"/>
        <v>105</v>
      </c>
      <c r="M133" s="5" t="s">
        <v>51</v>
      </c>
      <c r="N133" s="1" t="s">
        <v>154</v>
      </c>
      <c r="O133" s="1" t="s">
        <v>657</v>
      </c>
      <c r="P133" s="1" t="s">
        <v>60</v>
      </c>
      <c r="Q133" s="1" t="s">
        <v>60</v>
      </c>
      <c r="R133" s="1" t="s">
        <v>60</v>
      </c>
      <c r="S133">
        <v>0</v>
      </c>
      <c r="T133">
        <v>0</v>
      </c>
      <c r="U133">
        <v>0.15</v>
      </c>
      <c r="AV133" s="1" t="s">
        <v>51</v>
      </c>
      <c r="AW133" s="1" t="s">
        <v>943</v>
      </c>
      <c r="AX133" s="1" t="s">
        <v>51</v>
      </c>
      <c r="AY133" s="1" t="s">
        <v>51</v>
      </c>
    </row>
    <row r="134" spans="1:51" ht="30" customHeight="1" x14ac:dyDescent="0.3">
      <c r="A134" s="5" t="s">
        <v>746</v>
      </c>
      <c r="B134" s="5" t="s">
        <v>786</v>
      </c>
      <c r="C134" s="5" t="s">
        <v>631</v>
      </c>
      <c r="D134" s="6">
        <v>1</v>
      </c>
      <c r="E134" s="11">
        <f>TRUNC(SUMIF(W131:W136, RIGHTB(O134, 1), F131:F136)*U134, 2)</f>
        <v>14</v>
      </c>
      <c r="F134" s="10">
        <f t="shared" si="35"/>
        <v>14</v>
      </c>
      <c r="G134" s="11">
        <v>0</v>
      </c>
      <c r="H134" s="10">
        <f t="shared" si="36"/>
        <v>0</v>
      </c>
      <c r="I134" s="11">
        <v>0</v>
      </c>
      <c r="J134" s="10">
        <f t="shared" si="37"/>
        <v>0</v>
      </c>
      <c r="K134" s="11">
        <f t="shared" si="38"/>
        <v>14</v>
      </c>
      <c r="L134" s="10">
        <f t="shared" si="38"/>
        <v>14</v>
      </c>
      <c r="M134" s="5" t="s">
        <v>51</v>
      </c>
      <c r="N134" s="1" t="s">
        <v>154</v>
      </c>
      <c r="O134" s="1" t="s">
        <v>748</v>
      </c>
      <c r="P134" s="1" t="s">
        <v>60</v>
      </c>
      <c r="Q134" s="1" t="s">
        <v>60</v>
      </c>
      <c r="R134" s="1" t="s">
        <v>60</v>
      </c>
      <c r="S134">
        <v>0</v>
      </c>
      <c r="T134">
        <v>0</v>
      </c>
      <c r="U134">
        <v>0.02</v>
      </c>
      <c r="AV134" s="1" t="s">
        <v>51</v>
      </c>
      <c r="AW134" s="1" t="s">
        <v>944</v>
      </c>
      <c r="AX134" s="1" t="s">
        <v>51</v>
      </c>
      <c r="AY134" s="1" t="s">
        <v>51</v>
      </c>
    </row>
    <row r="135" spans="1:51" ht="30" customHeight="1" x14ac:dyDescent="0.3">
      <c r="A135" s="5" t="s">
        <v>769</v>
      </c>
      <c r="B135" s="5" t="s">
        <v>751</v>
      </c>
      <c r="C135" s="5" t="s">
        <v>752</v>
      </c>
      <c r="D135" s="6">
        <f>공량산출근거서!K66</f>
        <v>7.1999999999999995E-2</v>
      </c>
      <c r="E135" s="11">
        <f>단가대비표!O169</f>
        <v>0</v>
      </c>
      <c r="F135" s="10">
        <f t="shared" si="35"/>
        <v>0</v>
      </c>
      <c r="G135" s="11">
        <f>단가대비표!P169</f>
        <v>273676</v>
      </c>
      <c r="H135" s="10">
        <f t="shared" si="36"/>
        <v>19704.669999999998</v>
      </c>
      <c r="I135" s="11">
        <f>단가대비표!V169</f>
        <v>0</v>
      </c>
      <c r="J135" s="10">
        <f t="shared" si="37"/>
        <v>0</v>
      </c>
      <c r="K135" s="11">
        <f t="shared" si="38"/>
        <v>273676</v>
      </c>
      <c r="L135" s="10">
        <f t="shared" si="38"/>
        <v>19704.669999999998</v>
      </c>
      <c r="M135" s="5" t="s">
        <v>51</v>
      </c>
      <c r="N135" s="1" t="s">
        <v>154</v>
      </c>
      <c r="O135" s="1" t="s">
        <v>770</v>
      </c>
      <c r="P135" s="1" t="s">
        <v>60</v>
      </c>
      <c r="Q135" s="1" t="s">
        <v>60</v>
      </c>
      <c r="R135" s="1" t="s">
        <v>61</v>
      </c>
      <c r="X135">
        <v>3</v>
      </c>
      <c r="AV135" s="1" t="s">
        <v>51</v>
      </c>
      <c r="AW135" s="1" t="s">
        <v>945</v>
      </c>
      <c r="AX135" s="1" t="s">
        <v>51</v>
      </c>
      <c r="AY135" s="1" t="s">
        <v>51</v>
      </c>
    </row>
    <row r="136" spans="1:51" ht="30" customHeight="1" x14ac:dyDescent="0.3">
      <c r="A136" s="5" t="s">
        <v>758</v>
      </c>
      <c r="B136" s="5" t="s">
        <v>772</v>
      </c>
      <c r="C136" s="5" t="s">
        <v>631</v>
      </c>
      <c r="D136" s="6">
        <v>1</v>
      </c>
      <c r="E136" s="11">
        <f>TRUNC(SUMIF(X131:X136, RIGHTB(O136, 1), H131:H136)*U136, 2)</f>
        <v>591.14</v>
      </c>
      <c r="F136" s="10">
        <f t="shared" si="35"/>
        <v>591.14</v>
      </c>
      <c r="G136" s="11">
        <v>0</v>
      </c>
      <c r="H136" s="10">
        <f t="shared" si="36"/>
        <v>0</v>
      </c>
      <c r="I136" s="11">
        <v>0</v>
      </c>
      <c r="J136" s="10">
        <f t="shared" si="37"/>
        <v>0</v>
      </c>
      <c r="K136" s="11">
        <f t="shared" si="38"/>
        <v>591.14</v>
      </c>
      <c r="L136" s="10">
        <f t="shared" si="38"/>
        <v>591.14</v>
      </c>
      <c r="M136" s="5" t="s">
        <v>51</v>
      </c>
      <c r="N136" s="1" t="s">
        <v>154</v>
      </c>
      <c r="O136" s="1" t="s">
        <v>760</v>
      </c>
      <c r="P136" s="1" t="s">
        <v>60</v>
      </c>
      <c r="Q136" s="1" t="s">
        <v>60</v>
      </c>
      <c r="R136" s="1" t="s">
        <v>60</v>
      </c>
      <c r="S136">
        <v>1</v>
      </c>
      <c r="T136">
        <v>0</v>
      </c>
      <c r="U136">
        <v>0.03</v>
      </c>
      <c r="AV136" s="1" t="s">
        <v>51</v>
      </c>
      <c r="AW136" s="1" t="s">
        <v>946</v>
      </c>
      <c r="AX136" s="1" t="s">
        <v>51</v>
      </c>
      <c r="AY136" s="1" t="s">
        <v>51</v>
      </c>
    </row>
    <row r="137" spans="1:51" ht="30" customHeight="1" x14ac:dyDescent="0.3">
      <c r="A137" s="5" t="s">
        <v>762</v>
      </c>
      <c r="B137" s="5" t="s">
        <v>51</v>
      </c>
      <c r="C137" s="5" t="s">
        <v>51</v>
      </c>
      <c r="D137" s="6"/>
      <c r="E137" s="11"/>
      <c r="F137" s="10">
        <f>TRUNC(SUMIF(N131:N136, N130, F131:F136),0)</f>
        <v>1480</v>
      </c>
      <c r="G137" s="11"/>
      <c r="H137" s="10">
        <f>TRUNC(SUMIF(N131:N136, N130, H131:H136),0)</f>
        <v>19704</v>
      </c>
      <c r="I137" s="11"/>
      <c r="J137" s="10">
        <f>TRUNC(SUMIF(N131:N136, N130, J131:J136),0)</f>
        <v>0</v>
      </c>
      <c r="K137" s="11"/>
      <c r="L137" s="10">
        <f>F137+H137+J137</f>
        <v>21184</v>
      </c>
      <c r="M137" s="5" t="s">
        <v>51</v>
      </c>
      <c r="N137" s="1" t="s">
        <v>208</v>
      </c>
      <c r="O137" s="1" t="s">
        <v>208</v>
      </c>
      <c r="P137" s="1" t="s">
        <v>51</v>
      </c>
      <c r="Q137" s="1" t="s">
        <v>51</v>
      </c>
      <c r="R137" s="1" t="s">
        <v>51</v>
      </c>
      <c r="AV137" s="1" t="s">
        <v>51</v>
      </c>
      <c r="AW137" s="1" t="s">
        <v>51</v>
      </c>
      <c r="AX137" s="1" t="s">
        <v>51</v>
      </c>
      <c r="AY137" s="1" t="s">
        <v>51</v>
      </c>
    </row>
    <row r="138" spans="1:51" ht="30" customHeight="1" x14ac:dyDescent="0.3">
      <c r="A138" s="6"/>
      <c r="B138" s="6"/>
      <c r="C138" s="6"/>
      <c r="D138" s="6"/>
      <c r="E138" s="11"/>
      <c r="F138" s="10"/>
      <c r="G138" s="11"/>
      <c r="H138" s="10"/>
      <c r="I138" s="11"/>
      <c r="J138" s="10"/>
      <c r="K138" s="11"/>
      <c r="L138" s="10"/>
      <c r="M138" s="6"/>
    </row>
    <row r="139" spans="1:51" ht="30" customHeight="1" x14ac:dyDescent="0.3">
      <c r="A139" s="37" t="s">
        <v>947</v>
      </c>
      <c r="B139" s="37"/>
      <c r="C139" s="37"/>
      <c r="D139" s="37"/>
      <c r="E139" s="38"/>
      <c r="F139" s="39"/>
      <c r="G139" s="38"/>
      <c r="H139" s="39"/>
      <c r="I139" s="38"/>
      <c r="J139" s="39"/>
      <c r="K139" s="38"/>
      <c r="L139" s="39"/>
      <c r="M139" s="37"/>
      <c r="N139" s="1" t="s">
        <v>158</v>
      </c>
    </row>
    <row r="140" spans="1:51" ht="30" customHeight="1" x14ac:dyDescent="0.3">
      <c r="A140" s="5" t="s">
        <v>740</v>
      </c>
      <c r="B140" s="5" t="s">
        <v>156</v>
      </c>
      <c r="C140" s="5" t="s">
        <v>65</v>
      </c>
      <c r="D140" s="6">
        <v>1</v>
      </c>
      <c r="E140" s="11">
        <f>단가대비표!O133</f>
        <v>1784</v>
      </c>
      <c r="F140" s="10">
        <f t="shared" ref="F140:F146" si="39">TRUNC(E140*D140,2)</f>
        <v>1784</v>
      </c>
      <c r="G140" s="11">
        <f>단가대비표!P133</f>
        <v>0</v>
      </c>
      <c r="H140" s="10">
        <f t="shared" ref="H140:H146" si="40">TRUNC(G140*D140,2)</f>
        <v>0</v>
      </c>
      <c r="I140" s="11">
        <f>단가대비표!V133</f>
        <v>0</v>
      </c>
      <c r="J140" s="10">
        <f t="shared" ref="J140:J146" si="41">TRUNC(I140*D140,2)</f>
        <v>0</v>
      </c>
      <c r="K140" s="11">
        <f t="shared" ref="K140:L146" si="42">TRUNC(E140+G140+I140,2)</f>
        <v>1784</v>
      </c>
      <c r="L140" s="10">
        <f t="shared" si="42"/>
        <v>1784</v>
      </c>
      <c r="M140" s="5" t="s">
        <v>51</v>
      </c>
      <c r="N140" s="1" t="s">
        <v>158</v>
      </c>
      <c r="O140" s="1" t="s">
        <v>948</v>
      </c>
      <c r="P140" s="1" t="s">
        <v>60</v>
      </c>
      <c r="Q140" s="1" t="s">
        <v>60</v>
      </c>
      <c r="R140" s="1" t="s">
        <v>61</v>
      </c>
      <c r="V140">
        <v>1</v>
      </c>
      <c r="W140">
        <v>2</v>
      </c>
      <c r="AV140" s="1" t="s">
        <v>51</v>
      </c>
      <c r="AW140" s="1" t="s">
        <v>949</v>
      </c>
      <c r="AX140" s="1" t="s">
        <v>51</v>
      </c>
      <c r="AY140" s="1" t="s">
        <v>51</v>
      </c>
    </row>
    <row r="141" spans="1:51" ht="30" customHeight="1" x14ac:dyDescent="0.3">
      <c r="A141" s="5" t="s">
        <v>740</v>
      </c>
      <c r="B141" s="5" t="s">
        <v>156</v>
      </c>
      <c r="C141" s="5" t="s">
        <v>65</v>
      </c>
      <c r="D141" s="6">
        <v>0.03</v>
      </c>
      <c r="E141" s="11">
        <f>단가대비표!O133</f>
        <v>1784</v>
      </c>
      <c r="F141" s="10">
        <f t="shared" si="39"/>
        <v>53.52</v>
      </c>
      <c r="G141" s="11">
        <f>단가대비표!P133</f>
        <v>0</v>
      </c>
      <c r="H141" s="10">
        <f t="shared" si="40"/>
        <v>0</v>
      </c>
      <c r="I141" s="11">
        <f>단가대비표!V133</f>
        <v>0</v>
      </c>
      <c r="J141" s="10">
        <f t="shared" si="41"/>
        <v>0</v>
      </c>
      <c r="K141" s="11">
        <f t="shared" si="42"/>
        <v>1784</v>
      </c>
      <c r="L141" s="10">
        <f t="shared" si="42"/>
        <v>53.52</v>
      </c>
      <c r="M141" s="5" t="s">
        <v>51</v>
      </c>
      <c r="N141" s="1" t="s">
        <v>158</v>
      </c>
      <c r="O141" s="1" t="s">
        <v>948</v>
      </c>
      <c r="P141" s="1" t="s">
        <v>60</v>
      </c>
      <c r="Q141" s="1" t="s">
        <v>60</v>
      </c>
      <c r="R141" s="1" t="s">
        <v>61</v>
      </c>
      <c r="AV141" s="1" t="s">
        <v>51</v>
      </c>
      <c r="AW141" s="1" t="s">
        <v>949</v>
      </c>
      <c r="AX141" s="1" t="s">
        <v>51</v>
      </c>
      <c r="AY141" s="1" t="s">
        <v>51</v>
      </c>
    </row>
    <row r="142" spans="1:51" ht="30" customHeight="1" x14ac:dyDescent="0.3">
      <c r="A142" s="5" t="s">
        <v>743</v>
      </c>
      <c r="B142" s="5" t="s">
        <v>744</v>
      </c>
      <c r="C142" s="5" t="s">
        <v>631</v>
      </c>
      <c r="D142" s="6">
        <v>1</v>
      </c>
      <c r="E142" s="11">
        <f>TRUNC(SUMIF(V140:V146, RIGHTB(O142, 1), F140:F146)*U142, 2)</f>
        <v>267.60000000000002</v>
      </c>
      <c r="F142" s="10">
        <f t="shared" si="39"/>
        <v>267.60000000000002</v>
      </c>
      <c r="G142" s="11">
        <v>0</v>
      </c>
      <c r="H142" s="10">
        <f t="shared" si="40"/>
        <v>0</v>
      </c>
      <c r="I142" s="11">
        <v>0</v>
      </c>
      <c r="J142" s="10">
        <f t="shared" si="41"/>
        <v>0</v>
      </c>
      <c r="K142" s="11">
        <f t="shared" si="42"/>
        <v>267.60000000000002</v>
      </c>
      <c r="L142" s="10">
        <f t="shared" si="42"/>
        <v>267.60000000000002</v>
      </c>
      <c r="M142" s="5" t="s">
        <v>51</v>
      </c>
      <c r="N142" s="1" t="s">
        <v>158</v>
      </c>
      <c r="O142" s="1" t="s">
        <v>657</v>
      </c>
      <c r="P142" s="1" t="s">
        <v>60</v>
      </c>
      <c r="Q142" s="1" t="s">
        <v>60</v>
      </c>
      <c r="R142" s="1" t="s">
        <v>60</v>
      </c>
      <c r="S142">
        <v>0</v>
      </c>
      <c r="T142">
        <v>0</v>
      </c>
      <c r="U142">
        <v>0.15</v>
      </c>
      <c r="AV142" s="1" t="s">
        <v>51</v>
      </c>
      <c r="AW142" s="1" t="s">
        <v>950</v>
      </c>
      <c r="AX142" s="1" t="s">
        <v>51</v>
      </c>
      <c r="AY142" s="1" t="s">
        <v>51</v>
      </c>
    </row>
    <row r="143" spans="1:51" ht="30" customHeight="1" x14ac:dyDescent="0.3">
      <c r="A143" s="5" t="s">
        <v>746</v>
      </c>
      <c r="B143" s="5" t="s">
        <v>747</v>
      </c>
      <c r="C143" s="5" t="s">
        <v>631</v>
      </c>
      <c r="D143" s="6">
        <v>1</v>
      </c>
      <c r="E143" s="11">
        <f>TRUNC(SUMIF(W140:W146, RIGHTB(O143, 1), F140:F146)*U143, 2)</f>
        <v>35.68</v>
      </c>
      <c r="F143" s="10">
        <f t="shared" si="39"/>
        <v>35.68</v>
      </c>
      <c r="G143" s="11">
        <v>0</v>
      </c>
      <c r="H143" s="10">
        <f t="shared" si="40"/>
        <v>0</v>
      </c>
      <c r="I143" s="11">
        <v>0</v>
      </c>
      <c r="J143" s="10">
        <f t="shared" si="41"/>
        <v>0</v>
      </c>
      <c r="K143" s="11">
        <f t="shared" si="42"/>
        <v>35.68</v>
      </c>
      <c r="L143" s="10">
        <f t="shared" si="42"/>
        <v>35.68</v>
      </c>
      <c r="M143" s="5" t="s">
        <v>51</v>
      </c>
      <c r="N143" s="1" t="s">
        <v>158</v>
      </c>
      <c r="O143" s="1" t="s">
        <v>748</v>
      </c>
      <c r="P143" s="1" t="s">
        <v>60</v>
      </c>
      <c r="Q143" s="1" t="s">
        <v>60</v>
      </c>
      <c r="R143" s="1" t="s">
        <v>60</v>
      </c>
      <c r="S143">
        <v>0</v>
      </c>
      <c r="T143">
        <v>0</v>
      </c>
      <c r="U143">
        <v>0.02</v>
      </c>
      <c r="AV143" s="1" t="s">
        <v>51</v>
      </c>
      <c r="AW143" s="1" t="s">
        <v>951</v>
      </c>
      <c r="AX143" s="1" t="s">
        <v>51</v>
      </c>
      <c r="AY143" s="1" t="s">
        <v>51</v>
      </c>
    </row>
    <row r="144" spans="1:51" ht="30" customHeight="1" x14ac:dyDescent="0.3">
      <c r="A144" s="5" t="s">
        <v>750</v>
      </c>
      <c r="B144" s="5" t="s">
        <v>751</v>
      </c>
      <c r="C144" s="5" t="s">
        <v>752</v>
      </c>
      <c r="D144" s="6">
        <f>공량산출근거서!K72</f>
        <v>3.5999999999999997E-2</v>
      </c>
      <c r="E144" s="11">
        <f>단가대비표!O162</f>
        <v>0</v>
      </c>
      <c r="F144" s="10">
        <f t="shared" si="39"/>
        <v>0</v>
      </c>
      <c r="G144" s="11">
        <f>단가대비표!P162</f>
        <v>172068</v>
      </c>
      <c r="H144" s="10">
        <f t="shared" si="40"/>
        <v>6194.44</v>
      </c>
      <c r="I144" s="11">
        <f>단가대비표!V162</f>
        <v>0</v>
      </c>
      <c r="J144" s="10">
        <f t="shared" si="41"/>
        <v>0</v>
      </c>
      <c r="K144" s="11">
        <f t="shared" si="42"/>
        <v>172068</v>
      </c>
      <c r="L144" s="10">
        <f t="shared" si="42"/>
        <v>6194.44</v>
      </c>
      <c r="M144" s="5" t="s">
        <v>51</v>
      </c>
      <c r="N144" s="1" t="s">
        <v>158</v>
      </c>
      <c r="O144" s="1" t="s">
        <v>753</v>
      </c>
      <c r="P144" s="1" t="s">
        <v>60</v>
      </c>
      <c r="Q144" s="1" t="s">
        <v>60</v>
      </c>
      <c r="R144" s="1" t="s">
        <v>61</v>
      </c>
      <c r="X144">
        <v>3</v>
      </c>
      <c r="AV144" s="1" t="s">
        <v>51</v>
      </c>
      <c r="AW144" s="1" t="s">
        <v>952</v>
      </c>
      <c r="AX144" s="1" t="s">
        <v>51</v>
      </c>
      <c r="AY144" s="1" t="s">
        <v>51</v>
      </c>
    </row>
    <row r="145" spans="1:51" ht="30" customHeight="1" x14ac:dyDescent="0.3">
      <c r="A145" s="5" t="s">
        <v>755</v>
      </c>
      <c r="B145" s="5" t="s">
        <v>751</v>
      </c>
      <c r="C145" s="5" t="s">
        <v>752</v>
      </c>
      <c r="D145" s="6">
        <f>공량산출근거서!K73</f>
        <v>1.2E-2</v>
      </c>
      <c r="E145" s="11">
        <f>단가대비표!O172</f>
        <v>0</v>
      </c>
      <c r="F145" s="10">
        <f t="shared" si="39"/>
        <v>0</v>
      </c>
      <c r="G145" s="11">
        <f>단가대비표!P172</f>
        <v>414968</v>
      </c>
      <c r="H145" s="10">
        <f t="shared" si="40"/>
        <v>4979.6099999999997</v>
      </c>
      <c r="I145" s="11">
        <f>단가대비표!V172</f>
        <v>0</v>
      </c>
      <c r="J145" s="10">
        <f t="shared" si="41"/>
        <v>0</v>
      </c>
      <c r="K145" s="11">
        <f t="shared" si="42"/>
        <v>414968</v>
      </c>
      <c r="L145" s="10">
        <f t="shared" si="42"/>
        <v>4979.6099999999997</v>
      </c>
      <c r="M145" s="5" t="s">
        <v>51</v>
      </c>
      <c r="N145" s="1" t="s">
        <v>158</v>
      </c>
      <c r="O145" s="1" t="s">
        <v>756</v>
      </c>
      <c r="P145" s="1" t="s">
        <v>60</v>
      </c>
      <c r="Q145" s="1" t="s">
        <v>60</v>
      </c>
      <c r="R145" s="1" t="s">
        <v>61</v>
      </c>
      <c r="X145">
        <v>3</v>
      </c>
      <c r="AV145" s="1" t="s">
        <v>51</v>
      </c>
      <c r="AW145" s="1" t="s">
        <v>953</v>
      </c>
      <c r="AX145" s="1" t="s">
        <v>51</v>
      </c>
      <c r="AY145" s="1" t="s">
        <v>51</v>
      </c>
    </row>
    <row r="146" spans="1:51" ht="30" customHeight="1" x14ac:dyDescent="0.3">
      <c r="A146" s="5" t="s">
        <v>758</v>
      </c>
      <c r="B146" s="5" t="s">
        <v>759</v>
      </c>
      <c r="C146" s="5" t="s">
        <v>631</v>
      </c>
      <c r="D146" s="6">
        <v>1</v>
      </c>
      <c r="E146" s="11">
        <f>TRUNC(SUMIF(X140:X146, RIGHTB(O146, 1), H140:H146)*U146, 2)</f>
        <v>335.22</v>
      </c>
      <c r="F146" s="10">
        <f t="shared" si="39"/>
        <v>335.22</v>
      </c>
      <c r="G146" s="11">
        <v>0</v>
      </c>
      <c r="H146" s="10">
        <f t="shared" si="40"/>
        <v>0</v>
      </c>
      <c r="I146" s="11">
        <v>0</v>
      </c>
      <c r="J146" s="10">
        <f t="shared" si="41"/>
        <v>0</v>
      </c>
      <c r="K146" s="11">
        <f t="shared" si="42"/>
        <v>335.22</v>
      </c>
      <c r="L146" s="10">
        <f t="shared" si="42"/>
        <v>335.22</v>
      </c>
      <c r="M146" s="5" t="s">
        <v>51</v>
      </c>
      <c r="N146" s="1" t="s">
        <v>158</v>
      </c>
      <c r="O146" s="1" t="s">
        <v>760</v>
      </c>
      <c r="P146" s="1" t="s">
        <v>60</v>
      </c>
      <c r="Q146" s="1" t="s">
        <v>60</v>
      </c>
      <c r="R146" s="1" t="s">
        <v>60</v>
      </c>
      <c r="S146">
        <v>1</v>
      </c>
      <c r="T146">
        <v>0</v>
      </c>
      <c r="U146">
        <v>0.03</v>
      </c>
      <c r="AV146" s="1" t="s">
        <v>51</v>
      </c>
      <c r="AW146" s="1" t="s">
        <v>954</v>
      </c>
      <c r="AX146" s="1" t="s">
        <v>51</v>
      </c>
      <c r="AY146" s="1" t="s">
        <v>51</v>
      </c>
    </row>
    <row r="147" spans="1:51" ht="30" customHeight="1" x14ac:dyDescent="0.3">
      <c r="A147" s="5" t="s">
        <v>762</v>
      </c>
      <c r="B147" s="5" t="s">
        <v>51</v>
      </c>
      <c r="C147" s="5" t="s">
        <v>51</v>
      </c>
      <c r="D147" s="6"/>
      <c r="E147" s="11"/>
      <c r="F147" s="10">
        <f>TRUNC(SUMIF(N140:N146, N139, F140:F146),0)</f>
        <v>2476</v>
      </c>
      <c r="G147" s="11"/>
      <c r="H147" s="10">
        <f>TRUNC(SUMIF(N140:N146, N139, H140:H146),0)</f>
        <v>11174</v>
      </c>
      <c r="I147" s="11"/>
      <c r="J147" s="10">
        <f>TRUNC(SUMIF(N140:N146, N139, J140:J146),0)</f>
        <v>0</v>
      </c>
      <c r="K147" s="11"/>
      <c r="L147" s="10">
        <f>F147+H147+J147</f>
        <v>13650</v>
      </c>
      <c r="M147" s="5" t="s">
        <v>51</v>
      </c>
      <c r="N147" s="1" t="s">
        <v>208</v>
      </c>
      <c r="O147" s="1" t="s">
        <v>208</v>
      </c>
      <c r="P147" s="1" t="s">
        <v>51</v>
      </c>
      <c r="Q147" s="1" t="s">
        <v>51</v>
      </c>
      <c r="R147" s="1" t="s">
        <v>51</v>
      </c>
      <c r="AV147" s="1" t="s">
        <v>51</v>
      </c>
      <c r="AW147" s="1" t="s">
        <v>51</v>
      </c>
      <c r="AX147" s="1" t="s">
        <v>51</v>
      </c>
      <c r="AY147" s="1" t="s">
        <v>51</v>
      </c>
    </row>
    <row r="148" spans="1:51" ht="30" customHeight="1" x14ac:dyDescent="0.3">
      <c r="A148" s="6"/>
      <c r="B148" s="6"/>
      <c r="C148" s="6"/>
      <c r="D148" s="6"/>
      <c r="E148" s="11"/>
      <c r="F148" s="10"/>
      <c r="G148" s="11"/>
      <c r="H148" s="10"/>
      <c r="I148" s="11"/>
      <c r="J148" s="10"/>
      <c r="K148" s="11"/>
      <c r="L148" s="10"/>
      <c r="M148" s="6"/>
    </row>
    <row r="149" spans="1:51" ht="30" customHeight="1" x14ac:dyDescent="0.3">
      <c r="A149" s="37" t="s">
        <v>955</v>
      </c>
      <c r="B149" s="37"/>
      <c r="C149" s="37"/>
      <c r="D149" s="37"/>
      <c r="E149" s="38"/>
      <c r="F149" s="39"/>
      <c r="G149" s="38"/>
      <c r="H149" s="39"/>
      <c r="I149" s="38"/>
      <c r="J149" s="39"/>
      <c r="K149" s="38"/>
      <c r="L149" s="39"/>
      <c r="M149" s="37"/>
      <c r="N149" s="1" t="s">
        <v>163</v>
      </c>
    </row>
    <row r="150" spans="1:51" ht="30" customHeight="1" x14ac:dyDescent="0.3">
      <c r="A150" s="5" t="s">
        <v>160</v>
      </c>
      <c r="B150" s="5" t="s">
        <v>956</v>
      </c>
      <c r="C150" s="5" t="s">
        <v>58</v>
      </c>
      <c r="D150" s="6">
        <v>1</v>
      </c>
      <c r="E150" s="11">
        <f>단가대비표!O75</f>
        <v>21019</v>
      </c>
      <c r="F150" s="10">
        <f>TRUNC(E150*D150,2)</f>
        <v>21019</v>
      </c>
      <c r="G150" s="11">
        <f>단가대비표!P75</f>
        <v>0</v>
      </c>
      <c r="H150" s="10">
        <f>TRUNC(G150*D150,2)</f>
        <v>0</v>
      </c>
      <c r="I150" s="11">
        <f>단가대비표!V75</f>
        <v>0</v>
      </c>
      <c r="J150" s="10">
        <f>TRUNC(I150*D150,2)</f>
        <v>0</v>
      </c>
      <c r="K150" s="11">
        <f t="shared" ref="K150:L152" si="43">TRUNC(E150+G150+I150,2)</f>
        <v>21019</v>
      </c>
      <c r="L150" s="10">
        <f t="shared" si="43"/>
        <v>21019</v>
      </c>
      <c r="M150" s="5" t="s">
        <v>51</v>
      </c>
      <c r="N150" s="1" t="s">
        <v>163</v>
      </c>
      <c r="O150" s="1" t="s">
        <v>957</v>
      </c>
      <c r="P150" s="1" t="s">
        <v>60</v>
      </c>
      <c r="Q150" s="1" t="s">
        <v>60</v>
      </c>
      <c r="R150" s="1" t="s">
        <v>61</v>
      </c>
      <c r="AV150" s="1" t="s">
        <v>51</v>
      </c>
      <c r="AW150" s="1" t="s">
        <v>958</v>
      </c>
      <c r="AX150" s="1" t="s">
        <v>51</v>
      </c>
      <c r="AY150" s="1" t="s">
        <v>51</v>
      </c>
    </row>
    <row r="151" spans="1:51" ht="30" customHeight="1" x14ac:dyDescent="0.3">
      <c r="A151" s="5" t="s">
        <v>769</v>
      </c>
      <c r="B151" s="5" t="s">
        <v>751</v>
      </c>
      <c r="C151" s="5" t="s">
        <v>752</v>
      </c>
      <c r="D151" s="6">
        <f>공량산출근거서!K76</f>
        <v>0.42</v>
      </c>
      <c r="E151" s="11">
        <f>단가대비표!O169</f>
        <v>0</v>
      </c>
      <c r="F151" s="10">
        <f>TRUNC(E151*D151,2)</f>
        <v>0</v>
      </c>
      <c r="G151" s="11">
        <f>단가대비표!P169</f>
        <v>273676</v>
      </c>
      <c r="H151" s="10">
        <f>TRUNC(G151*D151,2)</f>
        <v>114943.92</v>
      </c>
      <c r="I151" s="11">
        <f>단가대비표!V169</f>
        <v>0</v>
      </c>
      <c r="J151" s="10">
        <f>TRUNC(I151*D151,2)</f>
        <v>0</v>
      </c>
      <c r="K151" s="11">
        <f t="shared" si="43"/>
        <v>273676</v>
      </c>
      <c r="L151" s="10">
        <f t="shared" si="43"/>
        <v>114943.92</v>
      </c>
      <c r="M151" s="5" t="s">
        <v>51</v>
      </c>
      <c r="N151" s="1" t="s">
        <v>163</v>
      </c>
      <c r="O151" s="1" t="s">
        <v>770</v>
      </c>
      <c r="P151" s="1" t="s">
        <v>60</v>
      </c>
      <c r="Q151" s="1" t="s">
        <v>60</v>
      </c>
      <c r="R151" s="1" t="s">
        <v>61</v>
      </c>
      <c r="V151">
        <v>1</v>
      </c>
      <c r="AV151" s="1" t="s">
        <v>51</v>
      </c>
      <c r="AW151" s="1" t="s">
        <v>959</v>
      </c>
      <c r="AX151" s="1" t="s">
        <v>51</v>
      </c>
      <c r="AY151" s="1" t="s">
        <v>51</v>
      </c>
    </row>
    <row r="152" spans="1:51" ht="30" customHeight="1" x14ac:dyDescent="0.3">
      <c r="A152" s="5" t="s">
        <v>758</v>
      </c>
      <c r="B152" s="5" t="s">
        <v>759</v>
      </c>
      <c r="C152" s="5" t="s">
        <v>631</v>
      </c>
      <c r="D152" s="6">
        <v>1</v>
      </c>
      <c r="E152" s="11">
        <f>TRUNC(SUMIF(V150:V152, RIGHTB(O152, 1), H150:H152)*U152, 2)</f>
        <v>3448.31</v>
      </c>
      <c r="F152" s="10">
        <f>TRUNC(E152*D152,2)</f>
        <v>3448.31</v>
      </c>
      <c r="G152" s="11">
        <v>0</v>
      </c>
      <c r="H152" s="10">
        <f>TRUNC(G152*D152,2)</f>
        <v>0</v>
      </c>
      <c r="I152" s="11">
        <v>0</v>
      </c>
      <c r="J152" s="10">
        <f>TRUNC(I152*D152,2)</f>
        <v>0</v>
      </c>
      <c r="K152" s="11">
        <f t="shared" si="43"/>
        <v>3448.31</v>
      </c>
      <c r="L152" s="10">
        <f t="shared" si="43"/>
        <v>3448.31</v>
      </c>
      <c r="M152" s="5" t="s">
        <v>51</v>
      </c>
      <c r="N152" s="1" t="s">
        <v>163</v>
      </c>
      <c r="O152" s="1" t="s">
        <v>657</v>
      </c>
      <c r="P152" s="1" t="s">
        <v>60</v>
      </c>
      <c r="Q152" s="1" t="s">
        <v>60</v>
      </c>
      <c r="R152" s="1" t="s">
        <v>60</v>
      </c>
      <c r="S152">
        <v>1</v>
      </c>
      <c r="T152">
        <v>0</v>
      </c>
      <c r="U152">
        <v>0.03</v>
      </c>
      <c r="AV152" s="1" t="s">
        <v>51</v>
      </c>
      <c r="AW152" s="1" t="s">
        <v>960</v>
      </c>
      <c r="AX152" s="1" t="s">
        <v>51</v>
      </c>
      <c r="AY152" s="1" t="s">
        <v>51</v>
      </c>
    </row>
    <row r="153" spans="1:51" ht="30" customHeight="1" x14ac:dyDescent="0.3">
      <c r="A153" s="5" t="s">
        <v>762</v>
      </c>
      <c r="B153" s="5" t="s">
        <v>51</v>
      </c>
      <c r="C153" s="5" t="s">
        <v>51</v>
      </c>
      <c r="D153" s="6"/>
      <c r="E153" s="11"/>
      <c r="F153" s="10">
        <f>TRUNC(SUMIF(N150:N152, N149, F150:F152),0)</f>
        <v>24467</v>
      </c>
      <c r="G153" s="11"/>
      <c r="H153" s="10">
        <f>TRUNC(SUMIF(N150:N152, N149, H150:H152),0)</f>
        <v>114943</v>
      </c>
      <c r="I153" s="11"/>
      <c r="J153" s="10">
        <f>TRUNC(SUMIF(N150:N152, N149, J150:J152),0)</f>
        <v>0</v>
      </c>
      <c r="K153" s="11"/>
      <c r="L153" s="10">
        <f>F153+H153+J153</f>
        <v>139410</v>
      </c>
      <c r="M153" s="5" t="s">
        <v>51</v>
      </c>
      <c r="N153" s="1" t="s">
        <v>208</v>
      </c>
      <c r="O153" s="1" t="s">
        <v>208</v>
      </c>
      <c r="P153" s="1" t="s">
        <v>51</v>
      </c>
      <c r="Q153" s="1" t="s">
        <v>51</v>
      </c>
      <c r="R153" s="1" t="s">
        <v>51</v>
      </c>
      <c r="AV153" s="1" t="s">
        <v>51</v>
      </c>
      <c r="AW153" s="1" t="s">
        <v>51</v>
      </c>
      <c r="AX153" s="1" t="s">
        <v>51</v>
      </c>
      <c r="AY153" s="1" t="s">
        <v>51</v>
      </c>
    </row>
    <row r="154" spans="1:51" ht="30" customHeight="1" x14ac:dyDescent="0.3">
      <c r="A154" s="6"/>
      <c r="B154" s="6"/>
      <c r="C154" s="6"/>
      <c r="D154" s="6"/>
      <c r="E154" s="11"/>
      <c r="F154" s="10"/>
      <c r="G154" s="11"/>
      <c r="H154" s="10"/>
      <c r="I154" s="11"/>
      <c r="J154" s="10"/>
      <c r="K154" s="11"/>
      <c r="L154" s="10"/>
      <c r="M154" s="6"/>
    </row>
    <row r="155" spans="1:51" ht="30" customHeight="1" x14ac:dyDescent="0.3">
      <c r="A155" s="37" t="s">
        <v>961</v>
      </c>
      <c r="B155" s="37"/>
      <c r="C155" s="37"/>
      <c r="D155" s="37"/>
      <c r="E155" s="38"/>
      <c r="F155" s="39"/>
      <c r="G155" s="38"/>
      <c r="H155" s="39"/>
      <c r="I155" s="38"/>
      <c r="J155" s="39"/>
      <c r="K155" s="38"/>
      <c r="L155" s="39"/>
      <c r="M155" s="37"/>
      <c r="N155" s="1" t="s">
        <v>168</v>
      </c>
    </row>
    <row r="156" spans="1:51" ht="30" customHeight="1" x14ac:dyDescent="0.3">
      <c r="A156" s="5" t="s">
        <v>792</v>
      </c>
      <c r="B156" s="5" t="s">
        <v>962</v>
      </c>
      <c r="C156" s="5" t="s">
        <v>58</v>
      </c>
      <c r="D156" s="6">
        <v>1</v>
      </c>
      <c r="E156" s="11">
        <f>단가대비표!O146</f>
        <v>19488</v>
      </c>
      <c r="F156" s="10">
        <f t="shared" ref="F156:F162" si="44">TRUNC(E156*D156,2)</f>
        <v>19488</v>
      </c>
      <c r="G156" s="11">
        <f>단가대비표!P146</f>
        <v>0</v>
      </c>
      <c r="H156" s="10">
        <f t="shared" ref="H156:H162" si="45">TRUNC(G156*D156,2)</f>
        <v>0</v>
      </c>
      <c r="I156" s="11">
        <f>단가대비표!V146</f>
        <v>0</v>
      </c>
      <c r="J156" s="10">
        <f t="shared" ref="J156:J162" si="46">TRUNC(I156*D156,2)</f>
        <v>0</v>
      </c>
      <c r="K156" s="11">
        <f t="shared" ref="K156:L162" si="47">TRUNC(E156+G156+I156,2)</f>
        <v>19488</v>
      </c>
      <c r="L156" s="10">
        <f t="shared" si="47"/>
        <v>19488</v>
      </c>
      <c r="M156" s="5" t="s">
        <v>51</v>
      </c>
      <c r="N156" s="1" t="s">
        <v>168</v>
      </c>
      <c r="O156" s="1" t="s">
        <v>963</v>
      </c>
      <c r="P156" s="1" t="s">
        <v>60</v>
      </c>
      <c r="Q156" s="1" t="s">
        <v>60</v>
      </c>
      <c r="R156" s="1" t="s">
        <v>61</v>
      </c>
      <c r="AV156" s="1" t="s">
        <v>51</v>
      </c>
      <c r="AW156" s="1" t="s">
        <v>964</v>
      </c>
      <c r="AX156" s="1" t="s">
        <v>51</v>
      </c>
      <c r="AY156" s="1" t="s">
        <v>51</v>
      </c>
    </row>
    <row r="157" spans="1:51" ht="30" customHeight="1" x14ac:dyDescent="0.3">
      <c r="A157" s="5" t="s">
        <v>792</v>
      </c>
      <c r="B157" s="5" t="s">
        <v>965</v>
      </c>
      <c r="C157" s="5" t="s">
        <v>58</v>
      </c>
      <c r="D157" s="6">
        <v>1</v>
      </c>
      <c r="E157" s="11">
        <f>단가대비표!O152</f>
        <v>4060</v>
      </c>
      <c r="F157" s="10">
        <f t="shared" si="44"/>
        <v>4060</v>
      </c>
      <c r="G157" s="11">
        <f>단가대비표!P152</f>
        <v>0</v>
      </c>
      <c r="H157" s="10">
        <f t="shared" si="45"/>
        <v>0</v>
      </c>
      <c r="I157" s="11">
        <f>단가대비표!V152</f>
        <v>0</v>
      </c>
      <c r="J157" s="10">
        <f t="shared" si="46"/>
        <v>0</v>
      </c>
      <c r="K157" s="11">
        <f t="shared" si="47"/>
        <v>4060</v>
      </c>
      <c r="L157" s="10">
        <f t="shared" si="47"/>
        <v>4060</v>
      </c>
      <c r="M157" s="5" t="s">
        <v>51</v>
      </c>
      <c r="N157" s="1" t="s">
        <v>168</v>
      </c>
      <c r="O157" s="1" t="s">
        <v>966</v>
      </c>
      <c r="P157" s="1" t="s">
        <v>60</v>
      </c>
      <c r="Q157" s="1" t="s">
        <v>60</v>
      </c>
      <c r="R157" s="1" t="s">
        <v>61</v>
      </c>
      <c r="AV157" s="1" t="s">
        <v>51</v>
      </c>
      <c r="AW157" s="1" t="s">
        <v>967</v>
      </c>
      <c r="AX157" s="1" t="s">
        <v>51</v>
      </c>
      <c r="AY157" s="1" t="s">
        <v>51</v>
      </c>
    </row>
    <row r="158" spans="1:51" ht="30" customHeight="1" x14ac:dyDescent="0.3">
      <c r="A158" s="5" t="s">
        <v>800</v>
      </c>
      <c r="B158" s="5" t="s">
        <v>968</v>
      </c>
      <c r="C158" s="5" t="s">
        <v>58</v>
      </c>
      <c r="D158" s="6">
        <v>1</v>
      </c>
      <c r="E158" s="11">
        <f>단가대비표!O84</f>
        <v>21707</v>
      </c>
      <c r="F158" s="10">
        <f t="shared" si="44"/>
        <v>21707</v>
      </c>
      <c r="G158" s="11">
        <f>단가대비표!P84</f>
        <v>0</v>
      </c>
      <c r="H158" s="10">
        <f t="shared" si="45"/>
        <v>0</v>
      </c>
      <c r="I158" s="11">
        <f>단가대비표!V84</f>
        <v>0</v>
      </c>
      <c r="J158" s="10">
        <f t="shared" si="46"/>
        <v>0</v>
      </c>
      <c r="K158" s="11">
        <f t="shared" si="47"/>
        <v>21707</v>
      </c>
      <c r="L158" s="10">
        <f t="shared" si="47"/>
        <v>21707</v>
      </c>
      <c r="M158" s="5" t="s">
        <v>51</v>
      </c>
      <c r="N158" s="1" t="s">
        <v>168</v>
      </c>
      <c r="O158" s="1" t="s">
        <v>969</v>
      </c>
      <c r="P158" s="1" t="s">
        <v>60</v>
      </c>
      <c r="Q158" s="1" t="s">
        <v>60</v>
      </c>
      <c r="R158" s="1" t="s">
        <v>61</v>
      </c>
      <c r="AV158" s="1" t="s">
        <v>51</v>
      </c>
      <c r="AW158" s="1" t="s">
        <v>970</v>
      </c>
      <c r="AX158" s="1" t="s">
        <v>51</v>
      </c>
      <c r="AY158" s="1" t="s">
        <v>51</v>
      </c>
    </row>
    <row r="159" spans="1:51" ht="30" customHeight="1" x14ac:dyDescent="0.3">
      <c r="A159" s="5" t="s">
        <v>800</v>
      </c>
      <c r="B159" s="5" t="s">
        <v>804</v>
      </c>
      <c r="C159" s="5" t="s">
        <v>58</v>
      </c>
      <c r="D159" s="6">
        <v>1</v>
      </c>
      <c r="E159" s="11">
        <f>단가대비표!O86</f>
        <v>2470</v>
      </c>
      <c r="F159" s="10">
        <f t="shared" si="44"/>
        <v>2470</v>
      </c>
      <c r="G159" s="11">
        <f>단가대비표!P86</f>
        <v>0</v>
      </c>
      <c r="H159" s="10">
        <f t="shared" si="45"/>
        <v>0</v>
      </c>
      <c r="I159" s="11">
        <f>단가대비표!V86</f>
        <v>0</v>
      </c>
      <c r="J159" s="10">
        <f t="shared" si="46"/>
        <v>0</v>
      </c>
      <c r="K159" s="11">
        <f t="shared" si="47"/>
        <v>2470</v>
      </c>
      <c r="L159" s="10">
        <f t="shared" si="47"/>
        <v>2470</v>
      </c>
      <c r="M159" s="5" t="s">
        <v>51</v>
      </c>
      <c r="N159" s="1" t="s">
        <v>168</v>
      </c>
      <c r="O159" s="1" t="s">
        <v>805</v>
      </c>
      <c r="P159" s="1" t="s">
        <v>60</v>
      </c>
      <c r="Q159" s="1" t="s">
        <v>60</v>
      </c>
      <c r="R159" s="1" t="s">
        <v>61</v>
      </c>
      <c r="AV159" s="1" t="s">
        <v>51</v>
      </c>
      <c r="AW159" s="1" t="s">
        <v>971</v>
      </c>
      <c r="AX159" s="1" t="s">
        <v>51</v>
      </c>
      <c r="AY159" s="1" t="s">
        <v>51</v>
      </c>
    </row>
    <row r="160" spans="1:51" ht="30" customHeight="1" x14ac:dyDescent="0.3">
      <c r="A160" s="5" t="s">
        <v>808</v>
      </c>
      <c r="B160" s="5" t="s">
        <v>751</v>
      </c>
      <c r="C160" s="5" t="s">
        <v>752</v>
      </c>
      <c r="D160" s="6">
        <f>공량산출근거서!K81</f>
        <v>8.1799999999999998E-2</v>
      </c>
      <c r="E160" s="11">
        <f>단가대비표!O170</f>
        <v>0</v>
      </c>
      <c r="F160" s="10">
        <f t="shared" si="44"/>
        <v>0</v>
      </c>
      <c r="G160" s="11">
        <f>단가대비표!P170</f>
        <v>440616</v>
      </c>
      <c r="H160" s="10">
        <f t="shared" si="45"/>
        <v>36042.379999999997</v>
      </c>
      <c r="I160" s="11">
        <f>단가대비표!V170</f>
        <v>0</v>
      </c>
      <c r="J160" s="10">
        <f t="shared" si="46"/>
        <v>0</v>
      </c>
      <c r="K160" s="11">
        <f t="shared" si="47"/>
        <v>440616</v>
      </c>
      <c r="L160" s="10">
        <f t="shared" si="47"/>
        <v>36042.379999999997</v>
      </c>
      <c r="M160" s="5" t="s">
        <v>51</v>
      </c>
      <c r="N160" s="1" t="s">
        <v>168</v>
      </c>
      <c r="O160" s="1" t="s">
        <v>809</v>
      </c>
      <c r="P160" s="1" t="s">
        <v>60</v>
      </c>
      <c r="Q160" s="1" t="s">
        <v>60</v>
      </c>
      <c r="R160" s="1" t="s">
        <v>61</v>
      </c>
      <c r="V160">
        <v>1</v>
      </c>
      <c r="AV160" s="1" t="s">
        <v>51</v>
      </c>
      <c r="AW160" s="1" t="s">
        <v>972</v>
      </c>
      <c r="AX160" s="1" t="s">
        <v>51</v>
      </c>
      <c r="AY160" s="1" t="s">
        <v>51</v>
      </c>
    </row>
    <row r="161" spans="1:51" ht="30" customHeight="1" x14ac:dyDescent="0.3">
      <c r="A161" s="5" t="s">
        <v>750</v>
      </c>
      <c r="B161" s="5" t="s">
        <v>751</v>
      </c>
      <c r="C161" s="5" t="s">
        <v>752</v>
      </c>
      <c r="D161" s="6">
        <f>공량산출근거서!K80</f>
        <v>8.1799999999999998E-2</v>
      </c>
      <c r="E161" s="11">
        <f>단가대비표!O162</f>
        <v>0</v>
      </c>
      <c r="F161" s="10">
        <f t="shared" si="44"/>
        <v>0</v>
      </c>
      <c r="G161" s="11">
        <f>단가대비표!P162</f>
        <v>172068</v>
      </c>
      <c r="H161" s="10">
        <f t="shared" si="45"/>
        <v>14075.16</v>
      </c>
      <c r="I161" s="11">
        <f>단가대비표!V162</f>
        <v>0</v>
      </c>
      <c r="J161" s="10">
        <f t="shared" si="46"/>
        <v>0</v>
      </c>
      <c r="K161" s="11">
        <f t="shared" si="47"/>
        <v>172068</v>
      </c>
      <c r="L161" s="10">
        <f t="shared" si="47"/>
        <v>14075.16</v>
      </c>
      <c r="M161" s="5" t="s">
        <v>51</v>
      </c>
      <c r="N161" s="1" t="s">
        <v>168</v>
      </c>
      <c r="O161" s="1" t="s">
        <v>753</v>
      </c>
      <c r="P161" s="1" t="s">
        <v>60</v>
      </c>
      <c r="Q161" s="1" t="s">
        <v>60</v>
      </c>
      <c r="R161" s="1" t="s">
        <v>61</v>
      </c>
      <c r="V161">
        <v>1</v>
      </c>
      <c r="AV161" s="1" t="s">
        <v>51</v>
      </c>
      <c r="AW161" s="1" t="s">
        <v>973</v>
      </c>
      <c r="AX161" s="1" t="s">
        <v>51</v>
      </c>
      <c r="AY161" s="1" t="s">
        <v>51</v>
      </c>
    </row>
    <row r="162" spans="1:51" ht="30" customHeight="1" x14ac:dyDescent="0.3">
      <c r="A162" s="5" t="s">
        <v>758</v>
      </c>
      <c r="B162" s="5" t="s">
        <v>759</v>
      </c>
      <c r="C162" s="5" t="s">
        <v>631</v>
      </c>
      <c r="D162" s="6">
        <v>1</v>
      </c>
      <c r="E162" s="11">
        <f>TRUNC(SUMIF(V156:V162, RIGHTB(O162, 1), H156:H162)*U162, 2)</f>
        <v>1503.52</v>
      </c>
      <c r="F162" s="10">
        <f t="shared" si="44"/>
        <v>1503.52</v>
      </c>
      <c r="G162" s="11">
        <v>0</v>
      </c>
      <c r="H162" s="10">
        <f t="shared" si="45"/>
        <v>0</v>
      </c>
      <c r="I162" s="11">
        <v>0</v>
      </c>
      <c r="J162" s="10">
        <f t="shared" si="46"/>
        <v>0</v>
      </c>
      <c r="K162" s="11">
        <f t="shared" si="47"/>
        <v>1503.52</v>
      </c>
      <c r="L162" s="10">
        <f t="shared" si="47"/>
        <v>1503.52</v>
      </c>
      <c r="M162" s="5" t="s">
        <v>51</v>
      </c>
      <c r="N162" s="1" t="s">
        <v>168</v>
      </c>
      <c r="O162" s="1" t="s">
        <v>657</v>
      </c>
      <c r="P162" s="1" t="s">
        <v>60</v>
      </c>
      <c r="Q162" s="1" t="s">
        <v>60</v>
      </c>
      <c r="R162" s="1" t="s">
        <v>60</v>
      </c>
      <c r="S162">
        <v>1</v>
      </c>
      <c r="T162">
        <v>0</v>
      </c>
      <c r="U162">
        <v>0.03</v>
      </c>
      <c r="AV162" s="1" t="s">
        <v>51</v>
      </c>
      <c r="AW162" s="1" t="s">
        <v>974</v>
      </c>
      <c r="AX162" s="1" t="s">
        <v>51</v>
      </c>
      <c r="AY162" s="1" t="s">
        <v>51</v>
      </c>
    </row>
    <row r="163" spans="1:51" ht="30" customHeight="1" x14ac:dyDescent="0.3">
      <c r="A163" s="5" t="s">
        <v>762</v>
      </c>
      <c r="B163" s="5" t="s">
        <v>51</v>
      </c>
      <c r="C163" s="5" t="s">
        <v>51</v>
      </c>
      <c r="D163" s="6"/>
      <c r="E163" s="11"/>
      <c r="F163" s="10">
        <f>TRUNC(SUMIF(N156:N162, N155, F156:F162),0)</f>
        <v>49228</v>
      </c>
      <c r="G163" s="11"/>
      <c r="H163" s="10">
        <f>TRUNC(SUMIF(N156:N162, N155, H156:H162),0)</f>
        <v>50117</v>
      </c>
      <c r="I163" s="11"/>
      <c r="J163" s="10">
        <f>TRUNC(SUMIF(N156:N162, N155, J156:J162),0)</f>
        <v>0</v>
      </c>
      <c r="K163" s="11"/>
      <c r="L163" s="10">
        <f>F163+H163+J163</f>
        <v>99345</v>
      </c>
      <c r="M163" s="5" t="s">
        <v>51</v>
      </c>
      <c r="N163" s="1" t="s">
        <v>208</v>
      </c>
      <c r="O163" s="1" t="s">
        <v>208</v>
      </c>
      <c r="P163" s="1" t="s">
        <v>51</v>
      </c>
      <c r="Q163" s="1" t="s">
        <v>51</v>
      </c>
      <c r="R163" s="1" t="s">
        <v>51</v>
      </c>
      <c r="AV163" s="1" t="s">
        <v>51</v>
      </c>
      <c r="AW163" s="1" t="s">
        <v>51</v>
      </c>
      <c r="AX163" s="1" t="s">
        <v>51</v>
      </c>
      <c r="AY163" s="1" t="s">
        <v>51</v>
      </c>
    </row>
    <row r="164" spans="1:51" ht="30" customHeight="1" x14ac:dyDescent="0.3">
      <c r="A164" s="6"/>
      <c r="B164" s="6"/>
      <c r="C164" s="6"/>
      <c r="D164" s="6"/>
      <c r="E164" s="11"/>
      <c r="F164" s="10"/>
      <c r="G164" s="11"/>
      <c r="H164" s="10"/>
      <c r="I164" s="11"/>
      <c r="J164" s="10"/>
      <c r="K164" s="11"/>
      <c r="L164" s="10"/>
      <c r="M164" s="6"/>
    </row>
    <row r="165" spans="1:51" ht="30" customHeight="1" x14ac:dyDescent="0.3">
      <c r="A165" s="37" t="s">
        <v>975</v>
      </c>
      <c r="B165" s="37"/>
      <c r="C165" s="37"/>
      <c r="D165" s="37"/>
      <c r="E165" s="38"/>
      <c r="F165" s="39"/>
      <c r="G165" s="38"/>
      <c r="H165" s="39"/>
      <c r="I165" s="38"/>
      <c r="J165" s="39"/>
      <c r="K165" s="38"/>
      <c r="L165" s="39"/>
      <c r="M165" s="37"/>
      <c r="N165" s="1" t="s">
        <v>172</v>
      </c>
    </row>
    <row r="166" spans="1:51" ht="30" customHeight="1" x14ac:dyDescent="0.3">
      <c r="A166" s="5" t="s">
        <v>106</v>
      </c>
      <c r="B166" s="5" t="s">
        <v>976</v>
      </c>
      <c r="C166" s="5" t="s">
        <v>65</v>
      </c>
      <c r="D166" s="6">
        <v>1</v>
      </c>
      <c r="E166" s="11">
        <f>단가대비표!O37</f>
        <v>40247</v>
      </c>
      <c r="F166" s="10">
        <f>TRUNC(E166*D166,2)</f>
        <v>40247</v>
      </c>
      <c r="G166" s="11">
        <f>단가대비표!P37</f>
        <v>0</v>
      </c>
      <c r="H166" s="10">
        <f>TRUNC(G166*D166,2)</f>
        <v>0</v>
      </c>
      <c r="I166" s="11">
        <f>단가대비표!V37</f>
        <v>0</v>
      </c>
      <c r="J166" s="10">
        <f>TRUNC(I166*D166,2)</f>
        <v>0</v>
      </c>
      <c r="K166" s="11">
        <f t="shared" ref="K166:L170" si="48">TRUNC(E166+G166+I166,2)</f>
        <v>40247</v>
      </c>
      <c r="L166" s="10">
        <f t="shared" si="48"/>
        <v>40247</v>
      </c>
      <c r="M166" s="5" t="s">
        <v>51</v>
      </c>
      <c r="N166" s="1" t="s">
        <v>172</v>
      </c>
      <c r="O166" s="1" t="s">
        <v>977</v>
      </c>
      <c r="P166" s="1" t="s">
        <v>60</v>
      </c>
      <c r="Q166" s="1" t="s">
        <v>60</v>
      </c>
      <c r="R166" s="1" t="s">
        <v>61</v>
      </c>
      <c r="V166">
        <v>1</v>
      </c>
      <c r="AV166" s="1" t="s">
        <v>51</v>
      </c>
      <c r="AW166" s="1" t="s">
        <v>978</v>
      </c>
      <c r="AX166" s="1" t="s">
        <v>51</v>
      </c>
      <c r="AY166" s="1" t="s">
        <v>51</v>
      </c>
    </row>
    <row r="167" spans="1:51" ht="30" customHeight="1" x14ac:dyDescent="0.3">
      <c r="A167" s="5" t="s">
        <v>106</v>
      </c>
      <c r="B167" s="5" t="s">
        <v>976</v>
      </c>
      <c r="C167" s="5" t="s">
        <v>65</v>
      </c>
      <c r="D167" s="6">
        <v>0.05</v>
      </c>
      <c r="E167" s="11">
        <f>단가대비표!O37</f>
        <v>40247</v>
      </c>
      <c r="F167" s="10">
        <f>TRUNC(E167*D167,2)</f>
        <v>2012.35</v>
      </c>
      <c r="G167" s="11">
        <f>단가대비표!P37</f>
        <v>0</v>
      </c>
      <c r="H167" s="10">
        <f>TRUNC(G167*D167,2)</f>
        <v>0</v>
      </c>
      <c r="I167" s="11">
        <f>단가대비표!V37</f>
        <v>0</v>
      </c>
      <c r="J167" s="10">
        <f>TRUNC(I167*D167,2)</f>
        <v>0</v>
      </c>
      <c r="K167" s="11">
        <f t="shared" si="48"/>
        <v>40247</v>
      </c>
      <c r="L167" s="10">
        <f t="shared" si="48"/>
        <v>2012.35</v>
      </c>
      <c r="M167" s="5" t="s">
        <v>51</v>
      </c>
      <c r="N167" s="1" t="s">
        <v>172</v>
      </c>
      <c r="O167" s="1" t="s">
        <v>977</v>
      </c>
      <c r="P167" s="1" t="s">
        <v>60</v>
      </c>
      <c r="Q167" s="1" t="s">
        <v>60</v>
      </c>
      <c r="R167" s="1" t="s">
        <v>61</v>
      </c>
      <c r="AV167" s="1" t="s">
        <v>51</v>
      </c>
      <c r="AW167" s="1" t="s">
        <v>978</v>
      </c>
      <c r="AX167" s="1" t="s">
        <v>51</v>
      </c>
      <c r="AY167" s="1" t="s">
        <v>51</v>
      </c>
    </row>
    <row r="168" spans="1:51" ht="30" customHeight="1" x14ac:dyDescent="0.3">
      <c r="A168" s="5" t="s">
        <v>746</v>
      </c>
      <c r="B168" s="5" t="s">
        <v>747</v>
      </c>
      <c r="C168" s="5" t="s">
        <v>631</v>
      </c>
      <c r="D168" s="6">
        <v>1</v>
      </c>
      <c r="E168" s="11">
        <f>TRUNC(SUMIF(V166:V170, RIGHTB(O168, 1), F166:F170)*U168, 2)</f>
        <v>804.94</v>
      </c>
      <c r="F168" s="10">
        <f>TRUNC(E168*D168,2)</f>
        <v>804.94</v>
      </c>
      <c r="G168" s="11">
        <v>0</v>
      </c>
      <c r="H168" s="10">
        <f>TRUNC(G168*D168,2)</f>
        <v>0</v>
      </c>
      <c r="I168" s="11">
        <v>0</v>
      </c>
      <c r="J168" s="10">
        <f>TRUNC(I168*D168,2)</f>
        <v>0</v>
      </c>
      <c r="K168" s="11">
        <f t="shared" si="48"/>
        <v>804.94</v>
      </c>
      <c r="L168" s="10">
        <f t="shared" si="48"/>
        <v>804.94</v>
      </c>
      <c r="M168" s="5" t="s">
        <v>51</v>
      </c>
      <c r="N168" s="1" t="s">
        <v>172</v>
      </c>
      <c r="O168" s="1" t="s">
        <v>657</v>
      </c>
      <c r="P168" s="1" t="s">
        <v>60</v>
      </c>
      <c r="Q168" s="1" t="s">
        <v>60</v>
      </c>
      <c r="R168" s="1" t="s">
        <v>60</v>
      </c>
      <c r="S168">
        <v>0</v>
      </c>
      <c r="T168">
        <v>0</v>
      </c>
      <c r="U168">
        <v>0.02</v>
      </c>
      <c r="AV168" s="1" t="s">
        <v>51</v>
      </c>
      <c r="AW168" s="1" t="s">
        <v>979</v>
      </c>
      <c r="AX168" s="1" t="s">
        <v>51</v>
      </c>
      <c r="AY168" s="1" t="s">
        <v>51</v>
      </c>
    </row>
    <row r="169" spans="1:51" ht="30" customHeight="1" x14ac:dyDescent="0.3">
      <c r="A169" s="5" t="s">
        <v>865</v>
      </c>
      <c r="B169" s="5" t="s">
        <v>751</v>
      </c>
      <c r="C169" s="5" t="s">
        <v>752</v>
      </c>
      <c r="D169" s="6">
        <f>공량산출근거서!K85</f>
        <v>0.13600000000000001</v>
      </c>
      <c r="E169" s="11">
        <f>단가대비표!O171</f>
        <v>0</v>
      </c>
      <c r="F169" s="10">
        <f>TRUNC(E169*D169,2)</f>
        <v>0</v>
      </c>
      <c r="G169" s="11">
        <f>단가대비표!P171</f>
        <v>304156</v>
      </c>
      <c r="H169" s="10">
        <f>TRUNC(G169*D169,2)</f>
        <v>41365.21</v>
      </c>
      <c r="I169" s="11">
        <f>단가대비표!V171</f>
        <v>0</v>
      </c>
      <c r="J169" s="10">
        <f>TRUNC(I169*D169,2)</f>
        <v>0</v>
      </c>
      <c r="K169" s="11">
        <f t="shared" si="48"/>
        <v>304156</v>
      </c>
      <c r="L169" s="10">
        <f t="shared" si="48"/>
        <v>41365.21</v>
      </c>
      <c r="M169" s="5" t="s">
        <v>51</v>
      </c>
      <c r="N169" s="1" t="s">
        <v>172</v>
      </c>
      <c r="O169" s="1" t="s">
        <v>866</v>
      </c>
      <c r="P169" s="1" t="s">
        <v>60</v>
      </c>
      <c r="Q169" s="1" t="s">
        <v>60</v>
      </c>
      <c r="R169" s="1" t="s">
        <v>61</v>
      </c>
      <c r="W169">
        <v>2</v>
      </c>
      <c r="AV169" s="1" t="s">
        <v>51</v>
      </c>
      <c r="AW169" s="1" t="s">
        <v>980</v>
      </c>
      <c r="AX169" s="1" t="s">
        <v>51</v>
      </c>
      <c r="AY169" s="1" t="s">
        <v>51</v>
      </c>
    </row>
    <row r="170" spans="1:51" ht="30" customHeight="1" x14ac:dyDescent="0.3">
      <c r="A170" s="5" t="s">
        <v>758</v>
      </c>
      <c r="B170" s="5" t="s">
        <v>759</v>
      </c>
      <c r="C170" s="5" t="s">
        <v>631</v>
      </c>
      <c r="D170" s="6">
        <v>1</v>
      </c>
      <c r="E170" s="11">
        <f>TRUNC(SUMIF(W166:W170, RIGHTB(O170, 1), H166:H170)*U170, 2)</f>
        <v>1240.95</v>
      </c>
      <c r="F170" s="10">
        <f>TRUNC(E170*D170,2)</f>
        <v>1240.95</v>
      </c>
      <c r="G170" s="11">
        <v>0</v>
      </c>
      <c r="H170" s="10">
        <f>TRUNC(G170*D170,2)</f>
        <v>0</v>
      </c>
      <c r="I170" s="11">
        <v>0</v>
      </c>
      <c r="J170" s="10">
        <f>TRUNC(I170*D170,2)</f>
        <v>0</v>
      </c>
      <c r="K170" s="11">
        <f t="shared" si="48"/>
        <v>1240.95</v>
      </c>
      <c r="L170" s="10">
        <f t="shared" si="48"/>
        <v>1240.95</v>
      </c>
      <c r="M170" s="5" t="s">
        <v>51</v>
      </c>
      <c r="N170" s="1" t="s">
        <v>172</v>
      </c>
      <c r="O170" s="1" t="s">
        <v>748</v>
      </c>
      <c r="P170" s="1" t="s">
        <v>60</v>
      </c>
      <c r="Q170" s="1" t="s">
        <v>60</v>
      </c>
      <c r="R170" s="1" t="s">
        <v>60</v>
      </c>
      <c r="S170">
        <v>1</v>
      </c>
      <c r="T170">
        <v>0</v>
      </c>
      <c r="U170">
        <v>0.03</v>
      </c>
      <c r="AV170" s="1" t="s">
        <v>51</v>
      </c>
      <c r="AW170" s="1" t="s">
        <v>981</v>
      </c>
      <c r="AX170" s="1" t="s">
        <v>51</v>
      </c>
      <c r="AY170" s="1" t="s">
        <v>51</v>
      </c>
    </row>
    <row r="171" spans="1:51" ht="30" customHeight="1" x14ac:dyDescent="0.3">
      <c r="A171" s="5" t="s">
        <v>762</v>
      </c>
      <c r="B171" s="5" t="s">
        <v>51</v>
      </c>
      <c r="C171" s="5" t="s">
        <v>51</v>
      </c>
      <c r="D171" s="6"/>
      <c r="E171" s="11"/>
      <c r="F171" s="10">
        <f>TRUNC(SUMIF(N166:N170, N165, F166:F170),0)</f>
        <v>44305</v>
      </c>
      <c r="G171" s="11"/>
      <c r="H171" s="10">
        <f>TRUNC(SUMIF(N166:N170, N165, H166:H170),0)</f>
        <v>41365</v>
      </c>
      <c r="I171" s="11"/>
      <c r="J171" s="10">
        <f>TRUNC(SUMIF(N166:N170, N165, J166:J170),0)</f>
        <v>0</v>
      </c>
      <c r="K171" s="11"/>
      <c r="L171" s="10">
        <f>F171+H171+J171</f>
        <v>85670</v>
      </c>
      <c r="M171" s="5" t="s">
        <v>51</v>
      </c>
      <c r="N171" s="1" t="s">
        <v>208</v>
      </c>
      <c r="O171" s="1" t="s">
        <v>208</v>
      </c>
      <c r="P171" s="1" t="s">
        <v>51</v>
      </c>
      <c r="Q171" s="1" t="s">
        <v>51</v>
      </c>
      <c r="R171" s="1" t="s">
        <v>51</v>
      </c>
      <c r="AV171" s="1" t="s">
        <v>51</v>
      </c>
      <c r="AW171" s="1" t="s">
        <v>51</v>
      </c>
      <c r="AX171" s="1" t="s">
        <v>51</v>
      </c>
      <c r="AY171" s="1" t="s">
        <v>51</v>
      </c>
    </row>
    <row r="172" spans="1:51" ht="30" customHeight="1" x14ac:dyDescent="0.3">
      <c r="A172" s="6"/>
      <c r="B172" s="6"/>
      <c r="C172" s="6"/>
      <c r="D172" s="6"/>
      <c r="E172" s="11"/>
      <c r="F172" s="10"/>
      <c r="G172" s="11"/>
      <c r="H172" s="10"/>
      <c r="I172" s="11"/>
      <c r="J172" s="10"/>
      <c r="K172" s="11"/>
      <c r="L172" s="10"/>
      <c r="M172" s="6"/>
    </row>
    <row r="173" spans="1:51" ht="30" customHeight="1" x14ac:dyDescent="0.3">
      <c r="A173" s="37" t="s">
        <v>982</v>
      </c>
      <c r="B173" s="37"/>
      <c r="C173" s="37"/>
      <c r="D173" s="37"/>
      <c r="E173" s="38"/>
      <c r="F173" s="39"/>
      <c r="G173" s="38"/>
      <c r="H173" s="39"/>
      <c r="I173" s="38"/>
      <c r="J173" s="39"/>
      <c r="K173" s="38"/>
      <c r="L173" s="39"/>
      <c r="M173" s="37"/>
      <c r="N173" s="1" t="s">
        <v>177</v>
      </c>
    </row>
    <row r="174" spans="1:51" ht="30" customHeight="1" x14ac:dyDescent="0.3">
      <c r="A174" s="5" t="s">
        <v>174</v>
      </c>
      <c r="B174" s="5" t="s">
        <v>983</v>
      </c>
      <c r="C174" s="5" t="s">
        <v>58</v>
      </c>
      <c r="D174" s="6">
        <v>1</v>
      </c>
      <c r="E174" s="11">
        <f>단가대비표!O95</f>
        <v>241</v>
      </c>
      <c r="F174" s="10">
        <f>TRUNC(E174*D174,2)</f>
        <v>241</v>
      </c>
      <c r="G174" s="11">
        <f>단가대비표!P95</f>
        <v>0</v>
      </c>
      <c r="H174" s="10">
        <f>TRUNC(G174*D174,2)</f>
        <v>0</v>
      </c>
      <c r="I174" s="11">
        <f>단가대비표!V95</f>
        <v>0</v>
      </c>
      <c r="J174" s="10">
        <f>TRUNC(I174*D174,2)</f>
        <v>0</v>
      </c>
      <c r="K174" s="11">
        <f t="shared" ref="K174:L176" si="49">TRUNC(E174+G174+I174,2)</f>
        <v>241</v>
      </c>
      <c r="L174" s="10">
        <f t="shared" si="49"/>
        <v>241</v>
      </c>
      <c r="M174" s="5" t="s">
        <v>51</v>
      </c>
      <c r="N174" s="1" t="s">
        <v>177</v>
      </c>
      <c r="O174" s="1" t="s">
        <v>984</v>
      </c>
      <c r="P174" s="1" t="s">
        <v>60</v>
      </c>
      <c r="Q174" s="1" t="s">
        <v>60</v>
      </c>
      <c r="R174" s="1" t="s">
        <v>61</v>
      </c>
      <c r="AV174" s="1" t="s">
        <v>51</v>
      </c>
      <c r="AW174" s="1" t="s">
        <v>985</v>
      </c>
      <c r="AX174" s="1" t="s">
        <v>51</v>
      </c>
      <c r="AY174" s="1" t="s">
        <v>51</v>
      </c>
    </row>
    <row r="175" spans="1:51" ht="30" customHeight="1" x14ac:dyDescent="0.3">
      <c r="A175" s="5" t="s">
        <v>865</v>
      </c>
      <c r="B175" s="5" t="s">
        <v>751</v>
      </c>
      <c r="C175" s="5" t="s">
        <v>752</v>
      </c>
      <c r="D175" s="6">
        <f>공량산출근거서!K88</f>
        <v>5.3999999999999999E-2</v>
      </c>
      <c r="E175" s="11">
        <f>단가대비표!O171</f>
        <v>0</v>
      </c>
      <c r="F175" s="10">
        <f>TRUNC(E175*D175,2)</f>
        <v>0</v>
      </c>
      <c r="G175" s="11">
        <f>단가대비표!P171</f>
        <v>304156</v>
      </c>
      <c r="H175" s="10">
        <f>TRUNC(G175*D175,2)</f>
        <v>16424.419999999998</v>
      </c>
      <c r="I175" s="11">
        <f>단가대비표!V171</f>
        <v>0</v>
      </c>
      <c r="J175" s="10">
        <f>TRUNC(I175*D175,2)</f>
        <v>0</v>
      </c>
      <c r="K175" s="11">
        <f t="shared" si="49"/>
        <v>304156</v>
      </c>
      <c r="L175" s="10">
        <f t="shared" si="49"/>
        <v>16424.419999999998</v>
      </c>
      <c r="M175" s="5" t="s">
        <v>51</v>
      </c>
      <c r="N175" s="1" t="s">
        <v>177</v>
      </c>
      <c r="O175" s="1" t="s">
        <v>866</v>
      </c>
      <c r="P175" s="1" t="s">
        <v>60</v>
      </c>
      <c r="Q175" s="1" t="s">
        <v>60</v>
      </c>
      <c r="R175" s="1" t="s">
        <v>61</v>
      </c>
      <c r="V175">
        <v>1</v>
      </c>
      <c r="AV175" s="1" t="s">
        <v>51</v>
      </c>
      <c r="AW175" s="1" t="s">
        <v>986</v>
      </c>
      <c r="AX175" s="1" t="s">
        <v>51</v>
      </c>
      <c r="AY175" s="1" t="s">
        <v>51</v>
      </c>
    </row>
    <row r="176" spans="1:51" ht="30" customHeight="1" x14ac:dyDescent="0.3">
      <c r="A176" s="5" t="s">
        <v>758</v>
      </c>
      <c r="B176" s="5" t="s">
        <v>759</v>
      </c>
      <c r="C176" s="5" t="s">
        <v>631</v>
      </c>
      <c r="D176" s="6">
        <v>1</v>
      </c>
      <c r="E176" s="11">
        <f>TRUNC(SUMIF(V174:V176, RIGHTB(O176, 1), H174:H176)*U176, 2)</f>
        <v>492.73</v>
      </c>
      <c r="F176" s="10">
        <f>TRUNC(E176*D176,2)</f>
        <v>492.73</v>
      </c>
      <c r="G176" s="11">
        <v>0</v>
      </c>
      <c r="H176" s="10">
        <f>TRUNC(G176*D176,2)</f>
        <v>0</v>
      </c>
      <c r="I176" s="11">
        <v>0</v>
      </c>
      <c r="J176" s="10">
        <f>TRUNC(I176*D176,2)</f>
        <v>0</v>
      </c>
      <c r="K176" s="11">
        <f t="shared" si="49"/>
        <v>492.73</v>
      </c>
      <c r="L176" s="10">
        <f t="shared" si="49"/>
        <v>492.73</v>
      </c>
      <c r="M176" s="5" t="s">
        <v>51</v>
      </c>
      <c r="N176" s="1" t="s">
        <v>177</v>
      </c>
      <c r="O176" s="1" t="s">
        <v>657</v>
      </c>
      <c r="P176" s="1" t="s">
        <v>60</v>
      </c>
      <c r="Q176" s="1" t="s">
        <v>60</v>
      </c>
      <c r="R176" s="1" t="s">
        <v>60</v>
      </c>
      <c r="S176">
        <v>1</v>
      </c>
      <c r="T176">
        <v>0</v>
      </c>
      <c r="U176">
        <v>0.03</v>
      </c>
      <c r="AV176" s="1" t="s">
        <v>51</v>
      </c>
      <c r="AW176" s="1" t="s">
        <v>987</v>
      </c>
      <c r="AX176" s="1" t="s">
        <v>51</v>
      </c>
      <c r="AY176" s="1" t="s">
        <v>51</v>
      </c>
    </row>
    <row r="177" spans="1:51" ht="30" customHeight="1" x14ac:dyDescent="0.3">
      <c r="A177" s="5" t="s">
        <v>762</v>
      </c>
      <c r="B177" s="5" t="s">
        <v>51</v>
      </c>
      <c r="C177" s="5" t="s">
        <v>51</v>
      </c>
      <c r="D177" s="6"/>
      <c r="E177" s="11"/>
      <c r="F177" s="10">
        <f>TRUNC(SUMIF(N174:N176, N173, F174:F176),0)</f>
        <v>733</v>
      </c>
      <c r="G177" s="11"/>
      <c r="H177" s="10">
        <f>TRUNC(SUMIF(N174:N176, N173, H174:H176),0)</f>
        <v>16424</v>
      </c>
      <c r="I177" s="11"/>
      <c r="J177" s="10">
        <f>TRUNC(SUMIF(N174:N176, N173, J174:J176),0)</f>
        <v>0</v>
      </c>
      <c r="K177" s="11"/>
      <c r="L177" s="10">
        <f>F177+H177+J177</f>
        <v>17157</v>
      </c>
      <c r="M177" s="5" t="s">
        <v>51</v>
      </c>
      <c r="N177" s="1" t="s">
        <v>208</v>
      </c>
      <c r="O177" s="1" t="s">
        <v>208</v>
      </c>
      <c r="P177" s="1" t="s">
        <v>51</v>
      </c>
      <c r="Q177" s="1" t="s">
        <v>51</v>
      </c>
      <c r="R177" s="1" t="s">
        <v>51</v>
      </c>
      <c r="AV177" s="1" t="s">
        <v>51</v>
      </c>
      <c r="AW177" s="1" t="s">
        <v>51</v>
      </c>
      <c r="AX177" s="1" t="s">
        <v>51</v>
      </c>
      <c r="AY177" s="1" t="s">
        <v>51</v>
      </c>
    </row>
    <row r="178" spans="1:51" ht="30" customHeight="1" x14ac:dyDescent="0.3">
      <c r="A178" s="6"/>
      <c r="B178" s="6"/>
      <c r="C178" s="6"/>
      <c r="D178" s="6"/>
      <c r="E178" s="11"/>
      <c r="F178" s="10"/>
      <c r="G178" s="11"/>
      <c r="H178" s="10"/>
      <c r="I178" s="11"/>
      <c r="J178" s="10"/>
      <c r="K178" s="11"/>
      <c r="L178" s="10"/>
      <c r="M178" s="6"/>
    </row>
    <row r="179" spans="1:51" ht="30" customHeight="1" x14ac:dyDescent="0.3">
      <c r="A179" s="37" t="s">
        <v>988</v>
      </c>
      <c r="B179" s="37"/>
      <c r="C179" s="37"/>
      <c r="D179" s="37"/>
      <c r="E179" s="38"/>
      <c r="F179" s="39"/>
      <c r="G179" s="38"/>
      <c r="H179" s="39"/>
      <c r="I179" s="38"/>
      <c r="J179" s="39"/>
      <c r="K179" s="38"/>
      <c r="L179" s="39"/>
      <c r="M179" s="37"/>
      <c r="N179" s="1" t="s">
        <v>181</v>
      </c>
    </row>
    <row r="180" spans="1:51" ht="30" customHeight="1" x14ac:dyDescent="0.3">
      <c r="A180" s="5" t="s">
        <v>174</v>
      </c>
      <c r="B180" s="5" t="s">
        <v>989</v>
      </c>
      <c r="C180" s="5" t="s">
        <v>58</v>
      </c>
      <c r="D180" s="6">
        <v>1</v>
      </c>
      <c r="E180" s="11">
        <f>단가대비표!O96</f>
        <v>1270</v>
      </c>
      <c r="F180" s="10">
        <f>TRUNC(E180*D180,2)</f>
        <v>1270</v>
      </c>
      <c r="G180" s="11">
        <f>단가대비표!P96</f>
        <v>0</v>
      </c>
      <c r="H180" s="10">
        <f>TRUNC(G180*D180,2)</f>
        <v>0</v>
      </c>
      <c r="I180" s="11">
        <f>단가대비표!V96</f>
        <v>0</v>
      </c>
      <c r="J180" s="10">
        <f>TRUNC(I180*D180,2)</f>
        <v>0</v>
      </c>
      <c r="K180" s="11">
        <f t="shared" ref="K180:L182" si="50">TRUNC(E180+G180+I180,2)</f>
        <v>1270</v>
      </c>
      <c r="L180" s="10">
        <f t="shared" si="50"/>
        <v>1270</v>
      </c>
      <c r="M180" s="5" t="s">
        <v>51</v>
      </c>
      <c r="N180" s="1" t="s">
        <v>181</v>
      </c>
      <c r="O180" s="1" t="s">
        <v>990</v>
      </c>
      <c r="P180" s="1" t="s">
        <v>60</v>
      </c>
      <c r="Q180" s="1" t="s">
        <v>60</v>
      </c>
      <c r="R180" s="1" t="s">
        <v>61</v>
      </c>
      <c r="AV180" s="1" t="s">
        <v>51</v>
      </c>
      <c r="AW180" s="1" t="s">
        <v>991</v>
      </c>
      <c r="AX180" s="1" t="s">
        <v>51</v>
      </c>
      <c r="AY180" s="1" t="s">
        <v>51</v>
      </c>
    </row>
    <row r="181" spans="1:51" ht="30" customHeight="1" x14ac:dyDescent="0.3">
      <c r="A181" s="5" t="s">
        <v>865</v>
      </c>
      <c r="B181" s="5" t="s">
        <v>751</v>
      </c>
      <c r="C181" s="5" t="s">
        <v>752</v>
      </c>
      <c r="D181" s="6">
        <f>공량산출근거서!K91</f>
        <v>0.10199999999999999</v>
      </c>
      <c r="E181" s="11">
        <f>단가대비표!O171</f>
        <v>0</v>
      </c>
      <c r="F181" s="10">
        <f>TRUNC(E181*D181,2)</f>
        <v>0</v>
      </c>
      <c r="G181" s="11">
        <f>단가대비표!P171</f>
        <v>304156</v>
      </c>
      <c r="H181" s="10">
        <f>TRUNC(G181*D181,2)</f>
        <v>31023.91</v>
      </c>
      <c r="I181" s="11">
        <f>단가대비표!V171</f>
        <v>0</v>
      </c>
      <c r="J181" s="10">
        <f>TRUNC(I181*D181,2)</f>
        <v>0</v>
      </c>
      <c r="K181" s="11">
        <f t="shared" si="50"/>
        <v>304156</v>
      </c>
      <c r="L181" s="10">
        <f t="shared" si="50"/>
        <v>31023.91</v>
      </c>
      <c r="M181" s="5" t="s">
        <v>992</v>
      </c>
      <c r="N181" s="1" t="s">
        <v>181</v>
      </c>
      <c r="O181" s="1" t="s">
        <v>866</v>
      </c>
      <c r="P181" s="1" t="s">
        <v>60</v>
      </c>
      <c r="Q181" s="1" t="s">
        <v>60</v>
      </c>
      <c r="R181" s="1" t="s">
        <v>61</v>
      </c>
      <c r="V181">
        <v>1</v>
      </c>
      <c r="AV181" s="1" t="s">
        <v>51</v>
      </c>
      <c r="AW181" s="1" t="s">
        <v>993</v>
      </c>
      <c r="AX181" s="1" t="s">
        <v>51</v>
      </c>
      <c r="AY181" s="1" t="s">
        <v>51</v>
      </c>
    </row>
    <row r="182" spans="1:51" ht="30" customHeight="1" x14ac:dyDescent="0.3">
      <c r="A182" s="5" t="s">
        <v>758</v>
      </c>
      <c r="B182" s="5" t="s">
        <v>759</v>
      </c>
      <c r="C182" s="5" t="s">
        <v>631</v>
      </c>
      <c r="D182" s="6">
        <v>1</v>
      </c>
      <c r="E182" s="11">
        <f>TRUNC(SUMIF(V180:V182, RIGHTB(O182, 1), H180:H182)*U182, 2)</f>
        <v>930.71</v>
      </c>
      <c r="F182" s="10">
        <f>TRUNC(E182*D182,2)</f>
        <v>930.71</v>
      </c>
      <c r="G182" s="11">
        <v>0</v>
      </c>
      <c r="H182" s="10">
        <f>TRUNC(G182*D182,2)</f>
        <v>0</v>
      </c>
      <c r="I182" s="11">
        <v>0</v>
      </c>
      <c r="J182" s="10">
        <f>TRUNC(I182*D182,2)</f>
        <v>0</v>
      </c>
      <c r="K182" s="11">
        <f t="shared" si="50"/>
        <v>930.71</v>
      </c>
      <c r="L182" s="10">
        <f t="shared" si="50"/>
        <v>930.71</v>
      </c>
      <c r="M182" s="5" t="s">
        <v>51</v>
      </c>
      <c r="N182" s="1" t="s">
        <v>181</v>
      </c>
      <c r="O182" s="1" t="s">
        <v>657</v>
      </c>
      <c r="P182" s="1" t="s">
        <v>60</v>
      </c>
      <c r="Q182" s="1" t="s">
        <v>60</v>
      </c>
      <c r="R182" s="1" t="s">
        <v>60</v>
      </c>
      <c r="S182">
        <v>1</v>
      </c>
      <c r="T182">
        <v>0</v>
      </c>
      <c r="U182">
        <v>0.03</v>
      </c>
      <c r="AV182" s="1" t="s">
        <v>51</v>
      </c>
      <c r="AW182" s="1" t="s">
        <v>994</v>
      </c>
      <c r="AX182" s="1" t="s">
        <v>51</v>
      </c>
      <c r="AY182" s="1" t="s">
        <v>51</v>
      </c>
    </row>
    <row r="183" spans="1:51" ht="30" customHeight="1" x14ac:dyDescent="0.3">
      <c r="A183" s="5" t="s">
        <v>762</v>
      </c>
      <c r="B183" s="5" t="s">
        <v>51</v>
      </c>
      <c r="C183" s="5" t="s">
        <v>51</v>
      </c>
      <c r="D183" s="6"/>
      <c r="E183" s="11"/>
      <c r="F183" s="10">
        <f>TRUNC(SUMIF(N180:N182, N179, F180:F182),0)</f>
        <v>2200</v>
      </c>
      <c r="G183" s="11"/>
      <c r="H183" s="10">
        <f>TRUNC(SUMIF(N180:N182, N179, H180:H182),0)</f>
        <v>31023</v>
      </c>
      <c r="I183" s="11"/>
      <c r="J183" s="10">
        <f>TRUNC(SUMIF(N180:N182, N179, J180:J182),0)</f>
        <v>0</v>
      </c>
      <c r="K183" s="11"/>
      <c r="L183" s="10">
        <f>F183+H183+J183</f>
        <v>33223</v>
      </c>
      <c r="M183" s="5" t="s">
        <v>51</v>
      </c>
      <c r="N183" s="1" t="s">
        <v>208</v>
      </c>
      <c r="O183" s="1" t="s">
        <v>208</v>
      </c>
      <c r="P183" s="1" t="s">
        <v>51</v>
      </c>
      <c r="Q183" s="1" t="s">
        <v>51</v>
      </c>
      <c r="R183" s="1" t="s">
        <v>51</v>
      </c>
      <c r="AV183" s="1" t="s">
        <v>51</v>
      </c>
      <c r="AW183" s="1" t="s">
        <v>51</v>
      </c>
      <c r="AX183" s="1" t="s">
        <v>51</v>
      </c>
      <c r="AY183" s="1" t="s">
        <v>51</v>
      </c>
    </row>
    <row r="184" spans="1:51" ht="30" customHeight="1" x14ac:dyDescent="0.3">
      <c r="A184" s="6"/>
      <c r="B184" s="6"/>
      <c r="C184" s="6"/>
      <c r="D184" s="6"/>
      <c r="E184" s="11"/>
      <c r="F184" s="10"/>
      <c r="G184" s="11"/>
      <c r="H184" s="10"/>
      <c r="I184" s="11"/>
      <c r="J184" s="10"/>
      <c r="K184" s="11"/>
      <c r="L184" s="10"/>
      <c r="M184" s="6"/>
    </row>
    <row r="185" spans="1:51" ht="30" customHeight="1" x14ac:dyDescent="0.3">
      <c r="A185" s="37" t="s">
        <v>995</v>
      </c>
      <c r="B185" s="37"/>
      <c r="C185" s="37"/>
      <c r="D185" s="37"/>
      <c r="E185" s="38"/>
      <c r="F185" s="39"/>
      <c r="G185" s="38"/>
      <c r="H185" s="39"/>
      <c r="I185" s="38"/>
      <c r="J185" s="39"/>
      <c r="K185" s="38"/>
      <c r="L185" s="39"/>
      <c r="M185" s="37"/>
      <c r="N185" s="1" t="s">
        <v>186</v>
      </c>
    </row>
    <row r="186" spans="1:51" ht="30" customHeight="1" x14ac:dyDescent="0.3">
      <c r="A186" s="5" t="s">
        <v>183</v>
      </c>
      <c r="B186" s="5" t="s">
        <v>996</v>
      </c>
      <c r="C186" s="5" t="s">
        <v>58</v>
      </c>
      <c r="D186" s="6">
        <v>1</v>
      </c>
      <c r="E186" s="11">
        <f>단가대비표!O93</f>
        <v>10920</v>
      </c>
      <c r="F186" s="10">
        <f>TRUNC(E186*D186,2)</f>
        <v>10920</v>
      </c>
      <c r="G186" s="11">
        <f>단가대비표!P93</f>
        <v>0</v>
      </c>
      <c r="H186" s="10">
        <f>TRUNC(G186*D186,2)</f>
        <v>0</v>
      </c>
      <c r="I186" s="11">
        <f>단가대비표!V93</f>
        <v>0</v>
      </c>
      <c r="J186" s="10">
        <f>TRUNC(I186*D186,2)</f>
        <v>0</v>
      </c>
      <c r="K186" s="11">
        <f t="shared" ref="K186:L188" si="51">TRUNC(E186+G186+I186,2)</f>
        <v>10920</v>
      </c>
      <c r="L186" s="10">
        <f t="shared" si="51"/>
        <v>10920</v>
      </c>
      <c r="M186" s="5" t="s">
        <v>51</v>
      </c>
      <c r="N186" s="1" t="s">
        <v>186</v>
      </c>
      <c r="O186" s="1" t="s">
        <v>997</v>
      </c>
      <c r="P186" s="1" t="s">
        <v>60</v>
      </c>
      <c r="Q186" s="1" t="s">
        <v>60</v>
      </c>
      <c r="R186" s="1" t="s">
        <v>61</v>
      </c>
      <c r="AV186" s="1" t="s">
        <v>51</v>
      </c>
      <c r="AW186" s="1" t="s">
        <v>998</v>
      </c>
      <c r="AX186" s="1" t="s">
        <v>51</v>
      </c>
      <c r="AY186" s="1" t="s">
        <v>51</v>
      </c>
    </row>
    <row r="187" spans="1:51" ht="30" customHeight="1" x14ac:dyDescent="0.3">
      <c r="A187" s="5" t="s">
        <v>865</v>
      </c>
      <c r="B187" s="5" t="s">
        <v>751</v>
      </c>
      <c r="C187" s="5" t="s">
        <v>752</v>
      </c>
      <c r="D187" s="6">
        <f>공량산출근거서!K94</f>
        <v>0.126</v>
      </c>
      <c r="E187" s="11">
        <f>단가대비표!O171</f>
        <v>0</v>
      </c>
      <c r="F187" s="10">
        <f>TRUNC(E187*D187,2)</f>
        <v>0</v>
      </c>
      <c r="G187" s="11">
        <f>단가대비표!P171</f>
        <v>304156</v>
      </c>
      <c r="H187" s="10">
        <f>TRUNC(G187*D187,2)</f>
        <v>38323.65</v>
      </c>
      <c r="I187" s="11">
        <f>단가대비표!V171</f>
        <v>0</v>
      </c>
      <c r="J187" s="10">
        <f>TRUNC(I187*D187,2)</f>
        <v>0</v>
      </c>
      <c r="K187" s="11">
        <f t="shared" si="51"/>
        <v>304156</v>
      </c>
      <c r="L187" s="10">
        <f t="shared" si="51"/>
        <v>38323.65</v>
      </c>
      <c r="M187" s="5" t="s">
        <v>999</v>
      </c>
      <c r="N187" s="1" t="s">
        <v>186</v>
      </c>
      <c r="O187" s="1" t="s">
        <v>866</v>
      </c>
      <c r="P187" s="1" t="s">
        <v>60</v>
      </c>
      <c r="Q187" s="1" t="s">
        <v>60</v>
      </c>
      <c r="R187" s="1" t="s">
        <v>61</v>
      </c>
      <c r="V187">
        <v>1</v>
      </c>
      <c r="AV187" s="1" t="s">
        <v>51</v>
      </c>
      <c r="AW187" s="1" t="s">
        <v>1000</v>
      </c>
      <c r="AX187" s="1" t="s">
        <v>51</v>
      </c>
      <c r="AY187" s="1" t="s">
        <v>51</v>
      </c>
    </row>
    <row r="188" spans="1:51" ht="30" customHeight="1" x14ac:dyDescent="0.3">
      <c r="A188" s="5" t="s">
        <v>758</v>
      </c>
      <c r="B188" s="5" t="s">
        <v>759</v>
      </c>
      <c r="C188" s="5" t="s">
        <v>631</v>
      </c>
      <c r="D188" s="6">
        <v>1</v>
      </c>
      <c r="E188" s="11">
        <f>TRUNC(SUMIF(V186:V188, RIGHTB(O188, 1), H186:H188)*U188, 2)</f>
        <v>1149.7</v>
      </c>
      <c r="F188" s="10">
        <f>TRUNC(E188*D188,2)</f>
        <v>1149.7</v>
      </c>
      <c r="G188" s="11">
        <v>0</v>
      </c>
      <c r="H188" s="10">
        <f>TRUNC(G188*D188,2)</f>
        <v>0</v>
      </c>
      <c r="I188" s="11">
        <v>0</v>
      </c>
      <c r="J188" s="10">
        <f>TRUNC(I188*D188,2)</f>
        <v>0</v>
      </c>
      <c r="K188" s="11">
        <f t="shared" si="51"/>
        <v>1149.7</v>
      </c>
      <c r="L188" s="10">
        <f t="shared" si="51"/>
        <v>1149.7</v>
      </c>
      <c r="M188" s="5" t="s">
        <v>51</v>
      </c>
      <c r="N188" s="1" t="s">
        <v>186</v>
      </c>
      <c r="O188" s="1" t="s">
        <v>657</v>
      </c>
      <c r="P188" s="1" t="s">
        <v>60</v>
      </c>
      <c r="Q188" s="1" t="s">
        <v>60</v>
      </c>
      <c r="R188" s="1" t="s">
        <v>60</v>
      </c>
      <c r="S188">
        <v>1</v>
      </c>
      <c r="T188">
        <v>0</v>
      </c>
      <c r="U188">
        <v>0.03</v>
      </c>
      <c r="AV188" s="1" t="s">
        <v>51</v>
      </c>
      <c r="AW188" s="1" t="s">
        <v>1001</v>
      </c>
      <c r="AX188" s="1" t="s">
        <v>51</v>
      </c>
      <c r="AY188" s="1" t="s">
        <v>51</v>
      </c>
    </row>
    <row r="189" spans="1:51" ht="30" customHeight="1" x14ac:dyDescent="0.3">
      <c r="A189" s="5" t="s">
        <v>762</v>
      </c>
      <c r="B189" s="5" t="s">
        <v>51</v>
      </c>
      <c r="C189" s="5" t="s">
        <v>51</v>
      </c>
      <c r="D189" s="6"/>
      <c r="E189" s="11"/>
      <c r="F189" s="10">
        <f>TRUNC(SUMIF(N186:N188, N185, F186:F188),0)</f>
        <v>12069</v>
      </c>
      <c r="G189" s="11"/>
      <c r="H189" s="10">
        <f>TRUNC(SUMIF(N186:N188, N185, H186:H188),0)</f>
        <v>38323</v>
      </c>
      <c r="I189" s="11"/>
      <c r="J189" s="10">
        <f>TRUNC(SUMIF(N186:N188, N185, J186:J188),0)</f>
        <v>0</v>
      </c>
      <c r="K189" s="11"/>
      <c r="L189" s="10">
        <f>F189+H189+J189</f>
        <v>50392</v>
      </c>
      <c r="M189" s="5" t="s">
        <v>51</v>
      </c>
      <c r="N189" s="1" t="s">
        <v>208</v>
      </c>
      <c r="O189" s="1" t="s">
        <v>208</v>
      </c>
      <c r="P189" s="1" t="s">
        <v>51</v>
      </c>
      <c r="Q189" s="1" t="s">
        <v>51</v>
      </c>
      <c r="R189" s="1" t="s">
        <v>51</v>
      </c>
      <c r="AV189" s="1" t="s">
        <v>51</v>
      </c>
      <c r="AW189" s="1" t="s">
        <v>51</v>
      </c>
      <c r="AX189" s="1" t="s">
        <v>51</v>
      </c>
      <c r="AY189" s="1" t="s">
        <v>51</v>
      </c>
    </row>
    <row r="190" spans="1:51" ht="30" customHeight="1" x14ac:dyDescent="0.3">
      <c r="A190" s="6"/>
      <c r="B190" s="6"/>
      <c r="C190" s="6"/>
      <c r="D190" s="6"/>
      <c r="E190" s="11"/>
      <c r="F190" s="10"/>
      <c r="G190" s="11"/>
      <c r="H190" s="10"/>
      <c r="I190" s="11"/>
      <c r="J190" s="10"/>
      <c r="K190" s="11"/>
      <c r="L190" s="10"/>
      <c r="M190" s="6"/>
    </row>
    <row r="191" spans="1:51" ht="30" customHeight="1" x14ac:dyDescent="0.3">
      <c r="A191" s="37" t="s">
        <v>1002</v>
      </c>
      <c r="B191" s="37"/>
      <c r="C191" s="37"/>
      <c r="D191" s="37"/>
      <c r="E191" s="38"/>
      <c r="F191" s="39"/>
      <c r="G191" s="38"/>
      <c r="H191" s="39"/>
      <c r="I191" s="38"/>
      <c r="J191" s="39"/>
      <c r="K191" s="38"/>
      <c r="L191" s="39"/>
      <c r="M191" s="37"/>
      <c r="N191" s="1" t="s">
        <v>190</v>
      </c>
    </row>
    <row r="192" spans="1:51" ht="30" customHeight="1" x14ac:dyDescent="0.3">
      <c r="A192" s="5" t="s">
        <v>764</v>
      </c>
      <c r="B192" s="5" t="s">
        <v>1003</v>
      </c>
      <c r="C192" s="5" t="s">
        <v>65</v>
      </c>
      <c r="D192" s="6">
        <v>1</v>
      </c>
      <c r="E192" s="11">
        <f>단가대비표!O18</f>
        <v>2365</v>
      </c>
      <c r="F192" s="10">
        <f>TRUNC(E192*D192,2)</f>
        <v>2365</v>
      </c>
      <c r="G192" s="11">
        <f>단가대비표!P18</f>
        <v>0</v>
      </c>
      <c r="H192" s="10">
        <f>TRUNC(G192*D192,2)</f>
        <v>0</v>
      </c>
      <c r="I192" s="11">
        <f>단가대비표!V18</f>
        <v>0</v>
      </c>
      <c r="J192" s="10">
        <f>TRUNC(I192*D192,2)</f>
        <v>0</v>
      </c>
      <c r="K192" s="11">
        <f t="shared" ref="K192:L196" si="52">TRUNC(E192+G192+I192,2)</f>
        <v>2365</v>
      </c>
      <c r="L192" s="10">
        <f t="shared" si="52"/>
        <v>2365</v>
      </c>
      <c r="M192" s="5" t="s">
        <v>51</v>
      </c>
      <c r="N192" s="1" t="s">
        <v>190</v>
      </c>
      <c r="O192" s="1" t="s">
        <v>1004</v>
      </c>
      <c r="P192" s="1" t="s">
        <v>60</v>
      </c>
      <c r="Q192" s="1" t="s">
        <v>60</v>
      </c>
      <c r="R192" s="1" t="s">
        <v>61</v>
      </c>
      <c r="V192">
        <v>1</v>
      </c>
      <c r="AV192" s="1" t="s">
        <v>51</v>
      </c>
      <c r="AW192" s="1" t="s">
        <v>1005</v>
      </c>
      <c r="AX192" s="1" t="s">
        <v>51</v>
      </c>
      <c r="AY192" s="1" t="s">
        <v>51</v>
      </c>
    </row>
    <row r="193" spans="1:51" ht="30" customHeight="1" x14ac:dyDescent="0.3">
      <c r="A193" s="5" t="s">
        <v>764</v>
      </c>
      <c r="B193" s="5" t="s">
        <v>1003</v>
      </c>
      <c r="C193" s="5" t="s">
        <v>65</v>
      </c>
      <c r="D193" s="6">
        <v>0.1</v>
      </c>
      <c r="E193" s="11">
        <f>단가대비표!O18</f>
        <v>2365</v>
      </c>
      <c r="F193" s="10">
        <f>TRUNC(E193*D193,2)</f>
        <v>236.5</v>
      </c>
      <c r="G193" s="11">
        <f>단가대비표!P18</f>
        <v>0</v>
      </c>
      <c r="H193" s="10">
        <f>TRUNC(G193*D193,2)</f>
        <v>0</v>
      </c>
      <c r="I193" s="11">
        <f>단가대비표!V18</f>
        <v>0</v>
      </c>
      <c r="J193" s="10">
        <f>TRUNC(I193*D193,2)</f>
        <v>0</v>
      </c>
      <c r="K193" s="11">
        <f t="shared" si="52"/>
        <v>2365</v>
      </c>
      <c r="L193" s="10">
        <f t="shared" si="52"/>
        <v>236.5</v>
      </c>
      <c r="M193" s="5" t="s">
        <v>51</v>
      </c>
      <c r="N193" s="1" t="s">
        <v>190</v>
      </c>
      <c r="O193" s="1" t="s">
        <v>1004</v>
      </c>
      <c r="P193" s="1" t="s">
        <v>60</v>
      </c>
      <c r="Q193" s="1" t="s">
        <v>60</v>
      </c>
      <c r="R193" s="1" t="s">
        <v>61</v>
      </c>
      <c r="AV193" s="1" t="s">
        <v>51</v>
      </c>
      <c r="AW193" s="1" t="s">
        <v>1005</v>
      </c>
      <c r="AX193" s="1" t="s">
        <v>51</v>
      </c>
      <c r="AY193" s="1" t="s">
        <v>51</v>
      </c>
    </row>
    <row r="194" spans="1:51" ht="30" customHeight="1" x14ac:dyDescent="0.3">
      <c r="A194" s="5" t="s">
        <v>746</v>
      </c>
      <c r="B194" s="5" t="s">
        <v>786</v>
      </c>
      <c r="C194" s="5" t="s">
        <v>631</v>
      </c>
      <c r="D194" s="6">
        <v>1</v>
      </c>
      <c r="E194" s="11">
        <f>TRUNC(SUMIF(V192:V196, RIGHTB(O194, 1), F192:F196)*U194, 2)</f>
        <v>47.3</v>
      </c>
      <c r="F194" s="10">
        <f>TRUNC(E194*D194,2)</f>
        <v>47.3</v>
      </c>
      <c r="G194" s="11">
        <v>0</v>
      </c>
      <c r="H194" s="10">
        <f>TRUNC(G194*D194,2)</f>
        <v>0</v>
      </c>
      <c r="I194" s="11">
        <v>0</v>
      </c>
      <c r="J194" s="10">
        <f>TRUNC(I194*D194,2)</f>
        <v>0</v>
      </c>
      <c r="K194" s="11">
        <f t="shared" si="52"/>
        <v>47.3</v>
      </c>
      <c r="L194" s="10">
        <f t="shared" si="52"/>
        <v>47.3</v>
      </c>
      <c r="M194" s="5" t="s">
        <v>51</v>
      </c>
      <c r="N194" s="1" t="s">
        <v>190</v>
      </c>
      <c r="O194" s="1" t="s">
        <v>657</v>
      </c>
      <c r="P194" s="1" t="s">
        <v>60</v>
      </c>
      <c r="Q194" s="1" t="s">
        <v>60</v>
      </c>
      <c r="R194" s="1" t="s">
        <v>60</v>
      </c>
      <c r="S194">
        <v>0</v>
      </c>
      <c r="T194">
        <v>0</v>
      </c>
      <c r="U194">
        <v>0.02</v>
      </c>
      <c r="AV194" s="1" t="s">
        <v>51</v>
      </c>
      <c r="AW194" s="1" t="s">
        <v>1006</v>
      </c>
      <c r="AX194" s="1" t="s">
        <v>51</v>
      </c>
      <c r="AY194" s="1" t="s">
        <v>51</v>
      </c>
    </row>
    <row r="195" spans="1:51" ht="30" customHeight="1" x14ac:dyDescent="0.3">
      <c r="A195" s="5" t="s">
        <v>758</v>
      </c>
      <c r="B195" s="5" t="s">
        <v>759</v>
      </c>
      <c r="C195" s="5" t="s">
        <v>631</v>
      </c>
      <c r="D195" s="6">
        <v>1</v>
      </c>
      <c r="E195" s="11">
        <f>TRUNC(SUMIF(W192:W196, RIGHTB(O195, 1), H192:H196)*U195, 2)</f>
        <v>0</v>
      </c>
      <c r="F195" s="10">
        <f>TRUNC(E195*D195,2)</f>
        <v>0</v>
      </c>
      <c r="G195" s="11">
        <v>0</v>
      </c>
      <c r="H195" s="10">
        <f>TRUNC(G195*D195,2)</f>
        <v>0</v>
      </c>
      <c r="I195" s="11">
        <v>0</v>
      </c>
      <c r="J195" s="10">
        <f>TRUNC(I195*D195,2)</f>
        <v>0</v>
      </c>
      <c r="K195" s="11">
        <f t="shared" si="52"/>
        <v>0</v>
      </c>
      <c r="L195" s="10">
        <f t="shared" si="52"/>
        <v>0</v>
      </c>
      <c r="M195" s="5" t="s">
        <v>51</v>
      </c>
      <c r="N195" s="1" t="s">
        <v>190</v>
      </c>
      <c r="O195" s="1" t="s">
        <v>748</v>
      </c>
      <c r="P195" s="1" t="s">
        <v>60</v>
      </c>
      <c r="Q195" s="1" t="s">
        <v>60</v>
      </c>
      <c r="R195" s="1" t="s">
        <v>60</v>
      </c>
      <c r="S195">
        <v>1</v>
      </c>
      <c r="T195">
        <v>0</v>
      </c>
      <c r="U195">
        <v>0.03</v>
      </c>
      <c r="AV195" s="1" t="s">
        <v>51</v>
      </c>
      <c r="AW195" s="1" t="s">
        <v>1007</v>
      </c>
      <c r="AX195" s="1" t="s">
        <v>51</v>
      </c>
      <c r="AY195" s="1" t="s">
        <v>51</v>
      </c>
    </row>
    <row r="196" spans="1:51" ht="30" customHeight="1" x14ac:dyDescent="0.3">
      <c r="A196" s="5" t="s">
        <v>769</v>
      </c>
      <c r="B196" s="5" t="s">
        <v>751</v>
      </c>
      <c r="C196" s="5" t="s">
        <v>752</v>
      </c>
      <c r="D196" s="6">
        <f>공량산출근거서!K98</f>
        <v>1.0500000000000001E-2</v>
      </c>
      <c r="E196" s="11">
        <f>단가대비표!O169</f>
        <v>0</v>
      </c>
      <c r="F196" s="10">
        <f>TRUNC(E196*D196,2)</f>
        <v>0</v>
      </c>
      <c r="G196" s="11">
        <f>단가대비표!P169</f>
        <v>273676</v>
      </c>
      <c r="H196" s="10">
        <f>TRUNC(G196*D196,2)</f>
        <v>2873.59</v>
      </c>
      <c r="I196" s="11">
        <f>단가대비표!V169</f>
        <v>0</v>
      </c>
      <c r="J196" s="10">
        <f>TRUNC(I196*D196,2)</f>
        <v>0</v>
      </c>
      <c r="K196" s="11">
        <f t="shared" si="52"/>
        <v>273676</v>
      </c>
      <c r="L196" s="10">
        <f t="shared" si="52"/>
        <v>2873.59</v>
      </c>
      <c r="M196" s="5" t="s">
        <v>51</v>
      </c>
      <c r="N196" s="1" t="s">
        <v>190</v>
      </c>
      <c r="O196" s="1" t="s">
        <v>770</v>
      </c>
      <c r="P196" s="1" t="s">
        <v>60</v>
      </c>
      <c r="Q196" s="1" t="s">
        <v>60</v>
      </c>
      <c r="R196" s="1" t="s">
        <v>61</v>
      </c>
      <c r="AV196" s="1" t="s">
        <v>51</v>
      </c>
      <c r="AW196" s="1" t="s">
        <v>1008</v>
      </c>
      <c r="AX196" s="1" t="s">
        <v>51</v>
      </c>
      <c r="AY196" s="1" t="s">
        <v>51</v>
      </c>
    </row>
    <row r="197" spans="1:51" ht="30" customHeight="1" x14ac:dyDescent="0.3">
      <c r="A197" s="5" t="s">
        <v>762</v>
      </c>
      <c r="B197" s="5" t="s">
        <v>51</v>
      </c>
      <c r="C197" s="5" t="s">
        <v>51</v>
      </c>
      <c r="D197" s="6"/>
      <c r="E197" s="11"/>
      <c r="F197" s="10">
        <f>TRUNC(SUMIF(N192:N196, N191, F192:F196),0)</f>
        <v>2648</v>
      </c>
      <c r="G197" s="11"/>
      <c r="H197" s="10">
        <f>TRUNC(SUMIF(N192:N196, N191, H192:H196),0)</f>
        <v>2873</v>
      </c>
      <c r="I197" s="11"/>
      <c r="J197" s="10">
        <f>TRUNC(SUMIF(N192:N196, N191, J192:J196),0)</f>
        <v>0</v>
      </c>
      <c r="K197" s="11"/>
      <c r="L197" s="10">
        <f>F197+H197+J197</f>
        <v>5521</v>
      </c>
      <c r="M197" s="5" t="s">
        <v>51</v>
      </c>
      <c r="N197" s="1" t="s">
        <v>208</v>
      </c>
      <c r="O197" s="1" t="s">
        <v>208</v>
      </c>
      <c r="P197" s="1" t="s">
        <v>51</v>
      </c>
      <c r="Q197" s="1" t="s">
        <v>51</v>
      </c>
      <c r="R197" s="1" t="s">
        <v>51</v>
      </c>
      <c r="AV197" s="1" t="s">
        <v>51</v>
      </c>
      <c r="AW197" s="1" t="s">
        <v>51</v>
      </c>
      <c r="AX197" s="1" t="s">
        <v>51</v>
      </c>
      <c r="AY197" s="1" t="s">
        <v>51</v>
      </c>
    </row>
    <row r="198" spans="1:51" ht="30" customHeight="1" x14ac:dyDescent="0.3">
      <c r="A198" s="6"/>
      <c r="B198" s="6"/>
      <c r="C198" s="6"/>
      <c r="D198" s="6"/>
      <c r="E198" s="11"/>
      <c r="F198" s="10"/>
      <c r="G198" s="11"/>
      <c r="H198" s="10"/>
      <c r="I198" s="11"/>
      <c r="J198" s="10"/>
      <c r="K198" s="11"/>
      <c r="L198" s="10"/>
      <c r="M198" s="6"/>
    </row>
    <row r="199" spans="1:51" ht="30" customHeight="1" x14ac:dyDescent="0.3">
      <c r="A199" s="37" t="s">
        <v>1009</v>
      </c>
      <c r="B199" s="37"/>
      <c r="C199" s="37"/>
      <c r="D199" s="37"/>
      <c r="E199" s="38"/>
      <c r="F199" s="39"/>
      <c r="G199" s="38"/>
      <c r="H199" s="39"/>
      <c r="I199" s="38"/>
      <c r="J199" s="39"/>
      <c r="K199" s="38"/>
      <c r="L199" s="39"/>
      <c r="M199" s="37"/>
      <c r="N199" s="1" t="s">
        <v>194</v>
      </c>
    </row>
    <row r="200" spans="1:51" ht="30" customHeight="1" x14ac:dyDescent="0.3">
      <c r="A200" s="5" t="s">
        <v>846</v>
      </c>
      <c r="B200" s="5" t="s">
        <v>1010</v>
      </c>
      <c r="C200" s="5" t="s">
        <v>65</v>
      </c>
      <c r="D200" s="6">
        <v>1</v>
      </c>
      <c r="E200" s="11">
        <f>단가대비표!O19</f>
        <v>3796</v>
      </c>
      <c r="F200" s="10">
        <f>TRUNC(E200*D200,2)</f>
        <v>3796</v>
      </c>
      <c r="G200" s="11">
        <f>단가대비표!P19</f>
        <v>0</v>
      </c>
      <c r="H200" s="10">
        <f>TRUNC(G200*D200,2)</f>
        <v>0</v>
      </c>
      <c r="I200" s="11">
        <f>단가대비표!V19</f>
        <v>0</v>
      </c>
      <c r="J200" s="10">
        <f>TRUNC(I200*D200,2)</f>
        <v>0</v>
      </c>
      <c r="K200" s="11">
        <f t="shared" ref="K200:L204" si="53">TRUNC(E200+G200+I200,2)</f>
        <v>3796</v>
      </c>
      <c r="L200" s="10">
        <f t="shared" si="53"/>
        <v>3796</v>
      </c>
      <c r="M200" s="5" t="s">
        <v>51</v>
      </c>
      <c r="N200" s="1" t="s">
        <v>194</v>
      </c>
      <c r="O200" s="1" t="s">
        <v>1011</v>
      </c>
      <c r="P200" s="1" t="s">
        <v>60</v>
      </c>
      <c r="Q200" s="1" t="s">
        <v>60</v>
      </c>
      <c r="R200" s="1" t="s">
        <v>61</v>
      </c>
      <c r="V200">
        <v>1</v>
      </c>
      <c r="AV200" s="1" t="s">
        <v>51</v>
      </c>
      <c r="AW200" s="1" t="s">
        <v>1012</v>
      </c>
      <c r="AX200" s="1" t="s">
        <v>51</v>
      </c>
      <c r="AY200" s="1" t="s">
        <v>51</v>
      </c>
    </row>
    <row r="201" spans="1:51" ht="30" customHeight="1" x14ac:dyDescent="0.3">
      <c r="A201" s="5" t="s">
        <v>846</v>
      </c>
      <c r="B201" s="5" t="s">
        <v>1010</v>
      </c>
      <c r="C201" s="5" t="s">
        <v>65</v>
      </c>
      <c r="D201" s="6">
        <v>0.1</v>
      </c>
      <c r="E201" s="11">
        <f>단가대비표!O19</f>
        <v>3796</v>
      </c>
      <c r="F201" s="10">
        <f>TRUNC(E201*D201,2)</f>
        <v>379.6</v>
      </c>
      <c r="G201" s="11">
        <f>단가대비표!P19</f>
        <v>0</v>
      </c>
      <c r="H201" s="10">
        <f>TRUNC(G201*D201,2)</f>
        <v>0</v>
      </c>
      <c r="I201" s="11">
        <f>단가대비표!V19</f>
        <v>0</v>
      </c>
      <c r="J201" s="10">
        <f>TRUNC(I201*D201,2)</f>
        <v>0</v>
      </c>
      <c r="K201" s="11">
        <f t="shared" si="53"/>
        <v>3796</v>
      </c>
      <c r="L201" s="10">
        <f t="shared" si="53"/>
        <v>379.6</v>
      </c>
      <c r="M201" s="5" t="s">
        <v>51</v>
      </c>
      <c r="N201" s="1" t="s">
        <v>194</v>
      </c>
      <c r="O201" s="1" t="s">
        <v>1011</v>
      </c>
      <c r="P201" s="1" t="s">
        <v>60</v>
      </c>
      <c r="Q201" s="1" t="s">
        <v>60</v>
      </c>
      <c r="R201" s="1" t="s">
        <v>61</v>
      </c>
      <c r="AV201" s="1" t="s">
        <v>51</v>
      </c>
      <c r="AW201" s="1" t="s">
        <v>1012</v>
      </c>
      <c r="AX201" s="1" t="s">
        <v>51</v>
      </c>
      <c r="AY201" s="1" t="s">
        <v>51</v>
      </c>
    </row>
    <row r="202" spans="1:51" ht="30" customHeight="1" x14ac:dyDescent="0.3">
      <c r="A202" s="5" t="s">
        <v>746</v>
      </c>
      <c r="B202" s="5" t="s">
        <v>786</v>
      </c>
      <c r="C202" s="5" t="s">
        <v>631</v>
      </c>
      <c r="D202" s="6">
        <v>1</v>
      </c>
      <c r="E202" s="11">
        <f>TRUNC(SUMIF(V200:V204, RIGHTB(O202, 1), F200:F204)*U202, 2)</f>
        <v>75.92</v>
      </c>
      <c r="F202" s="10">
        <f>TRUNC(E202*D202,2)</f>
        <v>75.92</v>
      </c>
      <c r="G202" s="11">
        <v>0</v>
      </c>
      <c r="H202" s="10">
        <f>TRUNC(G202*D202,2)</f>
        <v>0</v>
      </c>
      <c r="I202" s="11">
        <v>0</v>
      </c>
      <c r="J202" s="10">
        <f>TRUNC(I202*D202,2)</f>
        <v>0</v>
      </c>
      <c r="K202" s="11">
        <f t="shared" si="53"/>
        <v>75.92</v>
      </c>
      <c r="L202" s="10">
        <f t="shared" si="53"/>
        <v>75.92</v>
      </c>
      <c r="M202" s="5" t="s">
        <v>51</v>
      </c>
      <c r="N202" s="1" t="s">
        <v>194</v>
      </c>
      <c r="O202" s="1" t="s">
        <v>657</v>
      </c>
      <c r="P202" s="1" t="s">
        <v>60</v>
      </c>
      <c r="Q202" s="1" t="s">
        <v>60</v>
      </c>
      <c r="R202" s="1" t="s">
        <v>60</v>
      </c>
      <c r="S202">
        <v>0</v>
      </c>
      <c r="T202">
        <v>0</v>
      </c>
      <c r="U202">
        <v>0.02</v>
      </c>
      <c r="AV202" s="1" t="s">
        <v>51</v>
      </c>
      <c r="AW202" s="1" t="s">
        <v>1013</v>
      </c>
      <c r="AX202" s="1" t="s">
        <v>51</v>
      </c>
      <c r="AY202" s="1" t="s">
        <v>51</v>
      </c>
    </row>
    <row r="203" spans="1:51" ht="30" customHeight="1" x14ac:dyDescent="0.3">
      <c r="A203" s="5" t="s">
        <v>769</v>
      </c>
      <c r="B203" s="5" t="s">
        <v>751</v>
      </c>
      <c r="C203" s="5" t="s">
        <v>752</v>
      </c>
      <c r="D203" s="6">
        <f>공량산출근거서!K102</f>
        <v>1.0500000000000001E-2</v>
      </c>
      <c r="E203" s="11">
        <f>단가대비표!O169</f>
        <v>0</v>
      </c>
      <c r="F203" s="10">
        <f>TRUNC(E203*D203,2)</f>
        <v>0</v>
      </c>
      <c r="G203" s="11">
        <f>단가대비표!P169</f>
        <v>273676</v>
      </c>
      <c r="H203" s="10">
        <f>TRUNC(G203*D203,2)</f>
        <v>2873.59</v>
      </c>
      <c r="I203" s="11">
        <f>단가대비표!V169</f>
        <v>0</v>
      </c>
      <c r="J203" s="10">
        <f>TRUNC(I203*D203,2)</f>
        <v>0</v>
      </c>
      <c r="K203" s="11">
        <f t="shared" si="53"/>
        <v>273676</v>
      </c>
      <c r="L203" s="10">
        <f t="shared" si="53"/>
        <v>2873.59</v>
      </c>
      <c r="M203" s="5" t="s">
        <v>51</v>
      </c>
      <c r="N203" s="1" t="s">
        <v>194</v>
      </c>
      <c r="O203" s="1" t="s">
        <v>770</v>
      </c>
      <c r="P203" s="1" t="s">
        <v>60</v>
      </c>
      <c r="Q203" s="1" t="s">
        <v>60</v>
      </c>
      <c r="R203" s="1" t="s">
        <v>61</v>
      </c>
      <c r="W203">
        <v>2</v>
      </c>
      <c r="AV203" s="1" t="s">
        <v>51</v>
      </c>
      <c r="AW203" s="1" t="s">
        <v>1014</v>
      </c>
      <c r="AX203" s="1" t="s">
        <v>51</v>
      </c>
      <c r="AY203" s="1" t="s">
        <v>51</v>
      </c>
    </row>
    <row r="204" spans="1:51" ht="30" customHeight="1" x14ac:dyDescent="0.3">
      <c r="A204" s="5" t="s">
        <v>758</v>
      </c>
      <c r="B204" s="5" t="s">
        <v>759</v>
      </c>
      <c r="C204" s="5" t="s">
        <v>631</v>
      </c>
      <c r="D204" s="6">
        <v>1</v>
      </c>
      <c r="E204" s="11">
        <f>TRUNC(SUMIF(W200:W204, RIGHTB(O204, 1), H200:H204)*U204, 2)</f>
        <v>86.2</v>
      </c>
      <c r="F204" s="10">
        <f>TRUNC(E204*D204,2)</f>
        <v>86.2</v>
      </c>
      <c r="G204" s="11">
        <v>0</v>
      </c>
      <c r="H204" s="10">
        <f>TRUNC(G204*D204,2)</f>
        <v>0</v>
      </c>
      <c r="I204" s="11">
        <v>0</v>
      </c>
      <c r="J204" s="10">
        <f>TRUNC(I204*D204,2)</f>
        <v>0</v>
      </c>
      <c r="K204" s="11">
        <f t="shared" si="53"/>
        <v>86.2</v>
      </c>
      <c r="L204" s="10">
        <f t="shared" si="53"/>
        <v>86.2</v>
      </c>
      <c r="M204" s="5" t="s">
        <v>51</v>
      </c>
      <c r="N204" s="1" t="s">
        <v>194</v>
      </c>
      <c r="O204" s="1" t="s">
        <v>748</v>
      </c>
      <c r="P204" s="1" t="s">
        <v>60</v>
      </c>
      <c r="Q204" s="1" t="s">
        <v>60</v>
      </c>
      <c r="R204" s="1" t="s">
        <v>60</v>
      </c>
      <c r="S204">
        <v>1</v>
      </c>
      <c r="T204">
        <v>0</v>
      </c>
      <c r="U204">
        <v>0.03</v>
      </c>
      <c r="AV204" s="1" t="s">
        <v>51</v>
      </c>
      <c r="AW204" s="1" t="s">
        <v>1015</v>
      </c>
      <c r="AX204" s="1" t="s">
        <v>51</v>
      </c>
      <c r="AY204" s="1" t="s">
        <v>51</v>
      </c>
    </row>
    <row r="205" spans="1:51" ht="30" customHeight="1" x14ac:dyDescent="0.3">
      <c r="A205" s="5" t="s">
        <v>762</v>
      </c>
      <c r="B205" s="5" t="s">
        <v>51</v>
      </c>
      <c r="C205" s="5" t="s">
        <v>51</v>
      </c>
      <c r="D205" s="6"/>
      <c r="E205" s="11"/>
      <c r="F205" s="10">
        <f>TRUNC(SUMIF(N200:N204, N199, F200:F204),0)</f>
        <v>4337</v>
      </c>
      <c r="G205" s="11"/>
      <c r="H205" s="10">
        <f>TRUNC(SUMIF(N200:N204, N199, H200:H204),0)</f>
        <v>2873</v>
      </c>
      <c r="I205" s="11"/>
      <c r="J205" s="10">
        <f>TRUNC(SUMIF(N200:N204, N199, J200:J204),0)</f>
        <v>0</v>
      </c>
      <c r="K205" s="11"/>
      <c r="L205" s="10">
        <f>F205+H205+J205</f>
        <v>7210</v>
      </c>
      <c r="M205" s="5" t="s">
        <v>51</v>
      </c>
      <c r="N205" s="1" t="s">
        <v>208</v>
      </c>
      <c r="O205" s="1" t="s">
        <v>208</v>
      </c>
      <c r="P205" s="1" t="s">
        <v>51</v>
      </c>
      <c r="Q205" s="1" t="s">
        <v>51</v>
      </c>
      <c r="R205" s="1" t="s">
        <v>51</v>
      </c>
      <c r="AV205" s="1" t="s">
        <v>51</v>
      </c>
      <c r="AW205" s="1" t="s">
        <v>51</v>
      </c>
      <c r="AX205" s="1" t="s">
        <v>51</v>
      </c>
      <c r="AY205" s="1" t="s">
        <v>51</v>
      </c>
    </row>
    <row r="206" spans="1:51" ht="30" customHeight="1" x14ac:dyDescent="0.3">
      <c r="A206" s="6"/>
      <c r="B206" s="6"/>
      <c r="C206" s="6"/>
      <c r="D206" s="6"/>
      <c r="E206" s="11"/>
      <c r="F206" s="10"/>
      <c r="G206" s="11"/>
      <c r="H206" s="10"/>
      <c r="I206" s="11"/>
      <c r="J206" s="10"/>
      <c r="K206" s="11"/>
      <c r="L206" s="10"/>
      <c r="M206" s="6"/>
    </row>
    <row r="207" spans="1:51" ht="30" customHeight="1" x14ac:dyDescent="0.3">
      <c r="A207" s="37" t="s">
        <v>1016</v>
      </c>
      <c r="B207" s="37"/>
      <c r="C207" s="37"/>
      <c r="D207" s="37"/>
      <c r="E207" s="38"/>
      <c r="F207" s="39"/>
      <c r="G207" s="38"/>
      <c r="H207" s="39"/>
      <c r="I207" s="38"/>
      <c r="J207" s="39"/>
      <c r="K207" s="38"/>
      <c r="L207" s="39"/>
      <c r="M207" s="37"/>
      <c r="N207" s="1" t="s">
        <v>198</v>
      </c>
    </row>
    <row r="208" spans="1:51" ht="30" customHeight="1" x14ac:dyDescent="0.3">
      <c r="A208" s="5" t="s">
        <v>846</v>
      </c>
      <c r="B208" s="5" t="s">
        <v>847</v>
      </c>
      <c r="C208" s="5" t="s">
        <v>65</v>
      </c>
      <c r="D208" s="6">
        <v>1</v>
      </c>
      <c r="E208" s="11">
        <f>단가대비표!O20</f>
        <v>5377</v>
      </c>
      <c r="F208" s="10">
        <f>TRUNC(E208*D208,2)</f>
        <v>5377</v>
      </c>
      <c r="G208" s="11">
        <f>단가대비표!P20</f>
        <v>0</v>
      </c>
      <c r="H208" s="10">
        <f>TRUNC(G208*D208,2)</f>
        <v>0</v>
      </c>
      <c r="I208" s="11">
        <f>단가대비표!V20</f>
        <v>0</v>
      </c>
      <c r="J208" s="10">
        <f>TRUNC(I208*D208,2)</f>
        <v>0</v>
      </c>
      <c r="K208" s="11">
        <f t="shared" ref="K208:L212" si="54">TRUNC(E208+G208+I208,2)</f>
        <v>5377</v>
      </c>
      <c r="L208" s="10">
        <f t="shared" si="54"/>
        <v>5377</v>
      </c>
      <c r="M208" s="5" t="s">
        <v>51</v>
      </c>
      <c r="N208" s="1" t="s">
        <v>198</v>
      </c>
      <c r="O208" s="1" t="s">
        <v>848</v>
      </c>
      <c r="P208" s="1" t="s">
        <v>60</v>
      </c>
      <c r="Q208" s="1" t="s">
        <v>60</v>
      </c>
      <c r="R208" s="1" t="s">
        <v>61</v>
      </c>
      <c r="V208">
        <v>1</v>
      </c>
      <c r="AV208" s="1" t="s">
        <v>51</v>
      </c>
      <c r="AW208" s="1" t="s">
        <v>1017</v>
      </c>
      <c r="AX208" s="1" t="s">
        <v>51</v>
      </c>
      <c r="AY208" s="1" t="s">
        <v>51</v>
      </c>
    </row>
    <row r="209" spans="1:51" ht="30" customHeight="1" x14ac:dyDescent="0.3">
      <c r="A209" s="5" t="s">
        <v>846</v>
      </c>
      <c r="B209" s="5" t="s">
        <v>847</v>
      </c>
      <c r="C209" s="5" t="s">
        <v>65</v>
      </c>
      <c r="D209" s="6">
        <v>0.1</v>
      </c>
      <c r="E209" s="11">
        <f>단가대비표!O20</f>
        <v>5377</v>
      </c>
      <c r="F209" s="10">
        <f>TRUNC(E209*D209,2)</f>
        <v>537.70000000000005</v>
      </c>
      <c r="G209" s="11">
        <f>단가대비표!P20</f>
        <v>0</v>
      </c>
      <c r="H209" s="10">
        <f>TRUNC(G209*D209,2)</f>
        <v>0</v>
      </c>
      <c r="I209" s="11">
        <f>단가대비표!V20</f>
        <v>0</v>
      </c>
      <c r="J209" s="10">
        <f>TRUNC(I209*D209,2)</f>
        <v>0</v>
      </c>
      <c r="K209" s="11">
        <f t="shared" si="54"/>
        <v>5377</v>
      </c>
      <c r="L209" s="10">
        <f t="shared" si="54"/>
        <v>537.70000000000005</v>
      </c>
      <c r="M209" s="5" t="s">
        <v>51</v>
      </c>
      <c r="N209" s="1" t="s">
        <v>198</v>
      </c>
      <c r="O209" s="1" t="s">
        <v>848</v>
      </c>
      <c r="P209" s="1" t="s">
        <v>60</v>
      </c>
      <c r="Q209" s="1" t="s">
        <v>60</v>
      </c>
      <c r="R209" s="1" t="s">
        <v>61</v>
      </c>
      <c r="AV209" s="1" t="s">
        <v>51</v>
      </c>
      <c r="AW209" s="1" t="s">
        <v>1017</v>
      </c>
      <c r="AX209" s="1" t="s">
        <v>51</v>
      </c>
      <c r="AY209" s="1" t="s">
        <v>51</v>
      </c>
    </row>
    <row r="210" spans="1:51" ht="30" customHeight="1" x14ac:dyDescent="0.3">
      <c r="A210" s="5" t="s">
        <v>746</v>
      </c>
      <c r="B210" s="5" t="s">
        <v>786</v>
      </c>
      <c r="C210" s="5" t="s">
        <v>631</v>
      </c>
      <c r="D210" s="6">
        <v>1</v>
      </c>
      <c r="E210" s="11">
        <f>TRUNC(SUMIF(V208:V212, RIGHTB(O210, 1), F208:F212)*U210, 2)</f>
        <v>107.54</v>
      </c>
      <c r="F210" s="10">
        <f>TRUNC(E210*D210,2)</f>
        <v>107.54</v>
      </c>
      <c r="G210" s="11">
        <v>0</v>
      </c>
      <c r="H210" s="10">
        <f>TRUNC(G210*D210,2)</f>
        <v>0</v>
      </c>
      <c r="I210" s="11">
        <v>0</v>
      </c>
      <c r="J210" s="10">
        <f>TRUNC(I210*D210,2)</f>
        <v>0</v>
      </c>
      <c r="K210" s="11">
        <f t="shared" si="54"/>
        <v>107.54</v>
      </c>
      <c r="L210" s="10">
        <f t="shared" si="54"/>
        <v>107.54</v>
      </c>
      <c r="M210" s="5" t="s">
        <v>51</v>
      </c>
      <c r="N210" s="1" t="s">
        <v>198</v>
      </c>
      <c r="O210" s="1" t="s">
        <v>657</v>
      </c>
      <c r="P210" s="1" t="s">
        <v>60</v>
      </c>
      <c r="Q210" s="1" t="s">
        <v>60</v>
      </c>
      <c r="R210" s="1" t="s">
        <v>60</v>
      </c>
      <c r="S210">
        <v>0</v>
      </c>
      <c r="T210">
        <v>0</v>
      </c>
      <c r="U210">
        <v>0.02</v>
      </c>
      <c r="AV210" s="1" t="s">
        <v>51</v>
      </c>
      <c r="AW210" s="1" t="s">
        <v>1018</v>
      </c>
      <c r="AX210" s="1" t="s">
        <v>51</v>
      </c>
      <c r="AY210" s="1" t="s">
        <v>51</v>
      </c>
    </row>
    <row r="211" spans="1:51" ht="30" customHeight="1" x14ac:dyDescent="0.3">
      <c r="A211" s="5" t="s">
        <v>769</v>
      </c>
      <c r="B211" s="5" t="s">
        <v>751</v>
      </c>
      <c r="C211" s="5" t="s">
        <v>752</v>
      </c>
      <c r="D211" s="6">
        <f>공량산출근거서!K106</f>
        <v>1.0500000000000001E-2</v>
      </c>
      <c r="E211" s="11">
        <f>단가대비표!O169</f>
        <v>0</v>
      </c>
      <c r="F211" s="10">
        <f>TRUNC(E211*D211,2)</f>
        <v>0</v>
      </c>
      <c r="G211" s="11">
        <f>단가대비표!P169</f>
        <v>273676</v>
      </c>
      <c r="H211" s="10">
        <f>TRUNC(G211*D211,2)</f>
        <v>2873.59</v>
      </c>
      <c r="I211" s="11">
        <f>단가대비표!V169</f>
        <v>0</v>
      </c>
      <c r="J211" s="10">
        <f>TRUNC(I211*D211,2)</f>
        <v>0</v>
      </c>
      <c r="K211" s="11">
        <f t="shared" si="54"/>
        <v>273676</v>
      </c>
      <c r="L211" s="10">
        <f t="shared" si="54"/>
        <v>2873.59</v>
      </c>
      <c r="M211" s="5" t="s">
        <v>51</v>
      </c>
      <c r="N211" s="1" t="s">
        <v>198</v>
      </c>
      <c r="O211" s="1" t="s">
        <v>770</v>
      </c>
      <c r="P211" s="1" t="s">
        <v>60</v>
      </c>
      <c r="Q211" s="1" t="s">
        <v>60</v>
      </c>
      <c r="R211" s="1" t="s">
        <v>61</v>
      </c>
      <c r="W211">
        <v>2</v>
      </c>
      <c r="AV211" s="1" t="s">
        <v>51</v>
      </c>
      <c r="AW211" s="1" t="s">
        <v>1019</v>
      </c>
      <c r="AX211" s="1" t="s">
        <v>51</v>
      </c>
      <c r="AY211" s="1" t="s">
        <v>51</v>
      </c>
    </row>
    <row r="212" spans="1:51" ht="30" customHeight="1" x14ac:dyDescent="0.3">
      <c r="A212" s="5" t="s">
        <v>758</v>
      </c>
      <c r="B212" s="5" t="s">
        <v>759</v>
      </c>
      <c r="C212" s="5" t="s">
        <v>631</v>
      </c>
      <c r="D212" s="6">
        <v>1</v>
      </c>
      <c r="E212" s="11">
        <f>TRUNC(SUMIF(W208:W212, RIGHTB(O212, 1), H208:H212)*U212, 2)</f>
        <v>86.2</v>
      </c>
      <c r="F212" s="10">
        <f>TRUNC(E212*D212,2)</f>
        <v>86.2</v>
      </c>
      <c r="G212" s="11">
        <v>0</v>
      </c>
      <c r="H212" s="10">
        <f>TRUNC(G212*D212,2)</f>
        <v>0</v>
      </c>
      <c r="I212" s="11">
        <v>0</v>
      </c>
      <c r="J212" s="10">
        <f>TRUNC(I212*D212,2)</f>
        <v>0</v>
      </c>
      <c r="K212" s="11">
        <f t="shared" si="54"/>
        <v>86.2</v>
      </c>
      <c r="L212" s="10">
        <f t="shared" si="54"/>
        <v>86.2</v>
      </c>
      <c r="M212" s="5" t="s">
        <v>51</v>
      </c>
      <c r="N212" s="1" t="s">
        <v>198</v>
      </c>
      <c r="O212" s="1" t="s">
        <v>748</v>
      </c>
      <c r="P212" s="1" t="s">
        <v>60</v>
      </c>
      <c r="Q212" s="1" t="s">
        <v>60</v>
      </c>
      <c r="R212" s="1" t="s">
        <v>60</v>
      </c>
      <c r="S212">
        <v>1</v>
      </c>
      <c r="T212">
        <v>0</v>
      </c>
      <c r="U212">
        <v>0.03</v>
      </c>
      <c r="AV212" s="1" t="s">
        <v>51</v>
      </c>
      <c r="AW212" s="1" t="s">
        <v>1020</v>
      </c>
      <c r="AX212" s="1" t="s">
        <v>51</v>
      </c>
      <c r="AY212" s="1" t="s">
        <v>51</v>
      </c>
    </row>
    <row r="213" spans="1:51" ht="30" customHeight="1" x14ac:dyDescent="0.3">
      <c r="A213" s="5" t="s">
        <v>762</v>
      </c>
      <c r="B213" s="5" t="s">
        <v>51</v>
      </c>
      <c r="C213" s="5" t="s">
        <v>51</v>
      </c>
      <c r="D213" s="6"/>
      <c r="E213" s="11"/>
      <c r="F213" s="10">
        <f>TRUNC(SUMIF(N208:N212, N207, F208:F212),0)</f>
        <v>6108</v>
      </c>
      <c r="G213" s="11"/>
      <c r="H213" s="10">
        <f>TRUNC(SUMIF(N208:N212, N207, H208:H212),0)</f>
        <v>2873</v>
      </c>
      <c r="I213" s="11"/>
      <c r="J213" s="10">
        <f>TRUNC(SUMIF(N208:N212, N207, J208:J212),0)</f>
        <v>0</v>
      </c>
      <c r="K213" s="11"/>
      <c r="L213" s="10">
        <f>F213+H213+J213</f>
        <v>8981</v>
      </c>
      <c r="M213" s="5" t="s">
        <v>51</v>
      </c>
      <c r="N213" s="1" t="s">
        <v>208</v>
      </c>
      <c r="O213" s="1" t="s">
        <v>208</v>
      </c>
      <c r="P213" s="1" t="s">
        <v>51</v>
      </c>
      <c r="Q213" s="1" t="s">
        <v>51</v>
      </c>
      <c r="R213" s="1" t="s">
        <v>51</v>
      </c>
      <c r="AV213" s="1" t="s">
        <v>51</v>
      </c>
      <c r="AW213" s="1" t="s">
        <v>51</v>
      </c>
      <c r="AX213" s="1" t="s">
        <v>51</v>
      </c>
      <c r="AY213" s="1" t="s">
        <v>51</v>
      </c>
    </row>
    <row r="214" spans="1:51" ht="30" customHeight="1" x14ac:dyDescent="0.3">
      <c r="A214" s="6"/>
      <c r="B214" s="6"/>
      <c r="C214" s="6"/>
      <c r="D214" s="6"/>
      <c r="E214" s="11"/>
      <c r="F214" s="10"/>
      <c r="G214" s="11"/>
      <c r="H214" s="10"/>
      <c r="I214" s="11"/>
      <c r="J214" s="10"/>
      <c r="K214" s="11"/>
      <c r="L214" s="10"/>
      <c r="M214" s="6"/>
    </row>
    <row r="215" spans="1:51" ht="30" customHeight="1" x14ac:dyDescent="0.3">
      <c r="A215" s="37" t="s">
        <v>1021</v>
      </c>
      <c r="B215" s="37"/>
      <c r="C215" s="37"/>
      <c r="D215" s="37"/>
      <c r="E215" s="38"/>
      <c r="F215" s="39"/>
      <c r="G215" s="38"/>
      <c r="H215" s="39"/>
      <c r="I215" s="38"/>
      <c r="J215" s="39"/>
      <c r="K215" s="38"/>
      <c r="L215" s="39"/>
      <c r="M215" s="37"/>
      <c r="N215" s="1" t="s">
        <v>202</v>
      </c>
    </row>
    <row r="216" spans="1:51" ht="30" customHeight="1" x14ac:dyDescent="0.3">
      <c r="A216" s="5" t="s">
        <v>846</v>
      </c>
      <c r="B216" s="5" t="s">
        <v>1022</v>
      </c>
      <c r="C216" s="5" t="s">
        <v>65</v>
      </c>
      <c r="D216" s="6">
        <v>1</v>
      </c>
      <c r="E216" s="11">
        <f>단가대비표!O21</f>
        <v>7083</v>
      </c>
      <c r="F216" s="10">
        <f>TRUNC(E216*D216,2)</f>
        <v>7083</v>
      </c>
      <c r="G216" s="11">
        <f>단가대비표!P21</f>
        <v>0</v>
      </c>
      <c r="H216" s="10">
        <f>TRUNC(G216*D216,2)</f>
        <v>0</v>
      </c>
      <c r="I216" s="11">
        <f>단가대비표!V21</f>
        <v>0</v>
      </c>
      <c r="J216" s="10">
        <f>TRUNC(I216*D216,2)</f>
        <v>0</v>
      </c>
      <c r="K216" s="11">
        <f t="shared" ref="K216:L220" si="55">TRUNC(E216+G216+I216,2)</f>
        <v>7083</v>
      </c>
      <c r="L216" s="10">
        <f t="shared" si="55"/>
        <v>7083</v>
      </c>
      <c r="M216" s="5" t="s">
        <v>51</v>
      </c>
      <c r="N216" s="1" t="s">
        <v>202</v>
      </c>
      <c r="O216" s="1" t="s">
        <v>1023</v>
      </c>
      <c r="P216" s="1" t="s">
        <v>60</v>
      </c>
      <c r="Q216" s="1" t="s">
        <v>60</v>
      </c>
      <c r="R216" s="1" t="s">
        <v>61</v>
      </c>
      <c r="V216">
        <v>1</v>
      </c>
      <c r="AV216" s="1" t="s">
        <v>51</v>
      </c>
      <c r="AW216" s="1" t="s">
        <v>1024</v>
      </c>
      <c r="AX216" s="1" t="s">
        <v>51</v>
      </c>
      <c r="AY216" s="1" t="s">
        <v>51</v>
      </c>
    </row>
    <row r="217" spans="1:51" ht="30" customHeight="1" x14ac:dyDescent="0.3">
      <c r="A217" s="5" t="s">
        <v>846</v>
      </c>
      <c r="B217" s="5" t="s">
        <v>1022</v>
      </c>
      <c r="C217" s="5" t="s">
        <v>65</v>
      </c>
      <c r="D217" s="6">
        <v>0.1</v>
      </c>
      <c r="E217" s="11">
        <f>단가대비표!O21</f>
        <v>7083</v>
      </c>
      <c r="F217" s="10">
        <f>TRUNC(E217*D217,2)</f>
        <v>708.3</v>
      </c>
      <c r="G217" s="11">
        <f>단가대비표!P21</f>
        <v>0</v>
      </c>
      <c r="H217" s="10">
        <f>TRUNC(G217*D217,2)</f>
        <v>0</v>
      </c>
      <c r="I217" s="11">
        <f>단가대비표!V21</f>
        <v>0</v>
      </c>
      <c r="J217" s="10">
        <f>TRUNC(I217*D217,2)</f>
        <v>0</v>
      </c>
      <c r="K217" s="11">
        <f t="shared" si="55"/>
        <v>7083</v>
      </c>
      <c r="L217" s="10">
        <f t="shared" si="55"/>
        <v>708.3</v>
      </c>
      <c r="M217" s="5" t="s">
        <v>51</v>
      </c>
      <c r="N217" s="1" t="s">
        <v>202</v>
      </c>
      <c r="O217" s="1" t="s">
        <v>1023</v>
      </c>
      <c r="P217" s="1" t="s">
        <v>60</v>
      </c>
      <c r="Q217" s="1" t="s">
        <v>60</v>
      </c>
      <c r="R217" s="1" t="s">
        <v>61</v>
      </c>
      <c r="AV217" s="1" t="s">
        <v>51</v>
      </c>
      <c r="AW217" s="1" t="s">
        <v>1024</v>
      </c>
      <c r="AX217" s="1" t="s">
        <v>51</v>
      </c>
      <c r="AY217" s="1" t="s">
        <v>51</v>
      </c>
    </row>
    <row r="218" spans="1:51" ht="30" customHeight="1" x14ac:dyDescent="0.3">
      <c r="A218" s="5" t="s">
        <v>746</v>
      </c>
      <c r="B218" s="5" t="s">
        <v>786</v>
      </c>
      <c r="C218" s="5" t="s">
        <v>631</v>
      </c>
      <c r="D218" s="6">
        <v>1</v>
      </c>
      <c r="E218" s="11">
        <f>TRUNC(SUMIF(V216:V220, RIGHTB(O218, 1), F216:F220)*U218, 2)</f>
        <v>141.66</v>
      </c>
      <c r="F218" s="10">
        <f>TRUNC(E218*D218,2)</f>
        <v>141.66</v>
      </c>
      <c r="G218" s="11">
        <v>0</v>
      </c>
      <c r="H218" s="10">
        <f>TRUNC(G218*D218,2)</f>
        <v>0</v>
      </c>
      <c r="I218" s="11">
        <v>0</v>
      </c>
      <c r="J218" s="10">
        <f>TRUNC(I218*D218,2)</f>
        <v>0</v>
      </c>
      <c r="K218" s="11">
        <f t="shared" si="55"/>
        <v>141.66</v>
      </c>
      <c r="L218" s="10">
        <f t="shared" si="55"/>
        <v>141.66</v>
      </c>
      <c r="M218" s="5" t="s">
        <v>51</v>
      </c>
      <c r="N218" s="1" t="s">
        <v>202</v>
      </c>
      <c r="O218" s="1" t="s">
        <v>657</v>
      </c>
      <c r="P218" s="1" t="s">
        <v>60</v>
      </c>
      <c r="Q218" s="1" t="s">
        <v>60</v>
      </c>
      <c r="R218" s="1" t="s">
        <v>60</v>
      </c>
      <c r="S218">
        <v>0</v>
      </c>
      <c r="T218">
        <v>0</v>
      </c>
      <c r="U218">
        <v>0.02</v>
      </c>
      <c r="AV218" s="1" t="s">
        <v>51</v>
      </c>
      <c r="AW218" s="1" t="s">
        <v>1025</v>
      </c>
      <c r="AX218" s="1" t="s">
        <v>51</v>
      </c>
      <c r="AY218" s="1" t="s">
        <v>51</v>
      </c>
    </row>
    <row r="219" spans="1:51" ht="30" customHeight="1" x14ac:dyDescent="0.3">
      <c r="A219" s="5" t="s">
        <v>769</v>
      </c>
      <c r="B219" s="5" t="s">
        <v>751</v>
      </c>
      <c r="C219" s="5" t="s">
        <v>752</v>
      </c>
      <c r="D219" s="6">
        <f>공량산출근거서!K110</f>
        <v>1.2E-2</v>
      </c>
      <c r="E219" s="11">
        <f>단가대비표!O169</f>
        <v>0</v>
      </c>
      <c r="F219" s="10">
        <f>TRUNC(E219*D219,2)</f>
        <v>0</v>
      </c>
      <c r="G219" s="11">
        <f>단가대비표!P169</f>
        <v>273676</v>
      </c>
      <c r="H219" s="10">
        <f>TRUNC(G219*D219,2)</f>
        <v>3284.11</v>
      </c>
      <c r="I219" s="11">
        <f>단가대비표!V169</f>
        <v>0</v>
      </c>
      <c r="J219" s="10">
        <f>TRUNC(I219*D219,2)</f>
        <v>0</v>
      </c>
      <c r="K219" s="11">
        <f t="shared" si="55"/>
        <v>273676</v>
      </c>
      <c r="L219" s="10">
        <f t="shared" si="55"/>
        <v>3284.11</v>
      </c>
      <c r="M219" s="5" t="s">
        <v>51</v>
      </c>
      <c r="N219" s="1" t="s">
        <v>202</v>
      </c>
      <c r="O219" s="1" t="s">
        <v>770</v>
      </c>
      <c r="P219" s="1" t="s">
        <v>60</v>
      </c>
      <c r="Q219" s="1" t="s">
        <v>60</v>
      </c>
      <c r="R219" s="1" t="s">
        <v>61</v>
      </c>
      <c r="W219">
        <v>2</v>
      </c>
      <c r="AV219" s="1" t="s">
        <v>51</v>
      </c>
      <c r="AW219" s="1" t="s">
        <v>1026</v>
      </c>
      <c r="AX219" s="1" t="s">
        <v>51</v>
      </c>
      <c r="AY219" s="1" t="s">
        <v>51</v>
      </c>
    </row>
    <row r="220" spans="1:51" ht="30" customHeight="1" x14ac:dyDescent="0.3">
      <c r="A220" s="5" t="s">
        <v>758</v>
      </c>
      <c r="B220" s="5" t="s">
        <v>759</v>
      </c>
      <c r="C220" s="5" t="s">
        <v>631</v>
      </c>
      <c r="D220" s="6">
        <v>1</v>
      </c>
      <c r="E220" s="11">
        <f>TRUNC(SUMIF(W216:W220, RIGHTB(O220, 1), H216:H220)*U220, 2)</f>
        <v>98.52</v>
      </c>
      <c r="F220" s="10">
        <f>TRUNC(E220*D220,2)</f>
        <v>98.52</v>
      </c>
      <c r="G220" s="11">
        <v>0</v>
      </c>
      <c r="H220" s="10">
        <f>TRUNC(G220*D220,2)</f>
        <v>0</v>
      </c>
      <c r="I220" s="11">
        <v>0</v>
      </c>
      <c r="J220" s="10">
        <f>TRUNC(I220*D220,2)</f>
        <v>0</v>
      </c>
      <c r="K220" s="11">
        <f t="shared" si="55"/>
        <v>98.52</v>
      </c>
      <c r="L220" s="10">
        <f t="shared" si="55"/>
        <v>98.52</v>
      </c>
      <c r="M220" s="5" t="s">
        <v>51</v>
      </c>
      <c r="N220" s="1" t="s">
        <v>202</v>
      </c>
      <c r="O220" s="1" t="s">
        <v>748</v>
      </c>
      <c r="P220" s="1" t="s">
        <v>60</v>
      </c>
      <c r="Q220" s="1" t="s">
        <v>60</v>
      </c>
      <c r="R220" s="1" t="s">
        <v>60</v>
      </c>
      <c r="S220">
        <v>1</v>
      </c>
      <c r="T220">
        <v>0</v>
      </c>
      <c r="U220">
        <v>0.03</v>
      </c>
      <c r="AV220" s="1" t="s">
        <v>51</v>
      </c>
      <c r="AW220" s="1" t="s">
        <v>1027</v>
      </c>
      <c r="AX220" s="1" t="s">
        <v>51</v>
      </c>
      <c r="AY220" s="1" t="s">
        <v>51</v>
      </c>
    </row>
    <row r="221" spans="1:51" ht="30" customHeight="1" x14ac:dyDescent="0.3">
      <c r="A221" s="5" t="s">
        <v>762</v>
      </c>
      <c r="B221" s="5" t="s">
        <v>51</v>
      </c>
      <c r="C221" s="5" t="s">
        <v>51</v>
      </c>
      <c r="D221" s="6"/>
      <c r="E221" s="11"/>
      <c r="F221" s="10">
        <f>TRUNC(SUMIF(N216:N220, N215, F216:F220),0)</f>
        <v>8031</v>
      </c>
      <c r="G221" s="11"/>
      <c r="H221" s="10">
        <f>TRUNC(SUMIF(N216:N220, N215, H216:H220),0)</f>
        <v>3284</v>
      </c>
      <c r="I221" s="11"/>
      <c r="J221" s="10">
        <f>TRUNC(SUMIF(N216:N220, N215, J216:J220),0)</f>
        <v>0</v>
      </c>
      <c r="K221" s="11"/>
      <c r="L221" s="10">
        <f>F221+H221+J221</f>
        <v>11315</v>
      </c>
      <c r="M221" s="5" t="s">
        <v>51</v>
      </c>
      <c r="N221" s="1" t="s">
        <v>208</v>
      </c>
      <c r="O221" s="1" t="s">
        <v>208</v>
      </c>
      <c r="P221" s="1" t="s">
        <v>51</v>
      </c>
      <c r="Q221" s="1" t="s">
        <v>51</v>
      </c>
      <c r="R221" s="1" t="s">
        <v>51</v>
      </c>
      <c r="AV221" s="1" t="s">
        <v>51</v>
      </c>
      <c r="AW221" s="1" t="s">
        <v>51</v>
      </c>
      <c r="AX221" s="1" t="s">
        <v>51</v>
      </c>
      <c r="AY221" s="1" t="s">
        <v>51</v>
      </c>
    </row>
    <row r="222" spans="1:51" ht="30" customHeight="1" x14ac:dyDescent="0.3">
      <c r="A222" s="6"/>
      <c r="B222" s="6"/>
      <c r="C222" s="6"/>
      <c r="D222" s="6"/>
      <c r="E222" s="11"/>
      <c r="F222" s="10"/>
      <c r="G222" s="11"/>
      <c r="H222" s="10"/>
      <c r="I222" s="11"/>
      <c r="J222" s="10"/>
      <c r="K222" s="11"/>
      <c r="L222" s="10"/>
      <c r="M222" s="6"/>
    </row>
    <row r="223" spans="1:51" ht="30" customHeight="1" x14ac:dyDescent="0.3">
      <c r="A223" s="37" t="s">
        <v>1028</v>
      </c>
      <c r="B223" s="37"/>
      <c r="C223" s="37"/>
      <c r="D223" s="37"/>
      <c r="E223" s="38"/>
      <c r="F223" s="39"/>
      <c r="G223" s="38"/>
      <c r="H223" s="39"/>
      <c r="I223" s="38"/>
      <c r="J223" s="39"/>
      <c r="K223" s="38"/>
      <c r="L223" s="39"/>
      <c r="M223" s="37"/>
      <c r="N223" s="1" t="s">
        <v>206</v>
      </c>
    </row>
    <row r="224" spans="1:51" ht="30" customHeight="1" x14ac:dyDescent="0.3">
      <c r="A224" s="5" t="s">
        <v>846</v>
      </c>
      <c r="B224" s="5" t="s">
        <v>1029</v>
      </c>
      <c r="C224" s="5" t="s">
        <v>65</v>
      </c>
      <c r="D224" s="6">
        <v>1</v>
      </c>
      <c r="E224" s="11">
        <f>단가대비표!O22</f>
        <v>10058</v>
      </c>
      <c r="F224" s="10">
        <f>TRUNC(E224*D224,2)</f>
        <v>10058</v>
      </c>
      <c r="G224" s="11">
        <f>단가대비표!P22</f>
        <v>0</v>
      </c>
      <c r="H224" s="10">
        <f>TRUNC(G224*D224,2)</f>
        <v>0</v>
      </c>
      <c r="I224" s="11">
        <f>단가대비표!V22</f>
        <v>0</v>
      </c>
      <c r="J224" s="10">
        <f>TRUNC(I224*D224,2)</f>
        <v>0</v>
      </c>
      <c r="K224" s="11">
        <f t="shared" ref="K224:L228" si="56">TRUNC(E224+G224+I224,2)</f>
        <v>10058</v>
      </c>
      <c r="L224" s="10">
        <f t="shared" si="56"/>
        <v>10058</v>
      </c>
      <c r="M224" s="5" t="s">
        <v>51</v>
      </c>
      <c r="N224" s="1" t="s">
        <v>206</v>
      </c>
      <c r="O224" s="1" t="s">
        <v>1030</v>
      </c>
      <c r="P224" s="1" t="s">
        <v>60</v>
      </c>
      <c r="Q224" s="1" t="s">
        <v>60</v>
      </c>
      <c r="R224" s="1" t="s">
        <v>61</v>
      </c>
      <c r="V224">
        <v>1</v>
      </c>
      <c r="AV224" s="1" t="s">
        <v>51</v>
      </c>
      <c r="AW224" s="1" t="s">
        <v>1031</v>
      </c>
      <c r="AX224" s="1" t="s">
        <v>51</v>
      </c>
      <c r="AY224" s="1" t="s">
        <v>51</v>
      </c>
    </row>
    <row r="225" spans="1:51" ht="30" customHeight="1" x14ac:dyDescent="0.3">
      <c r="A225" s="5" t="s">
        <v>846</v>
      </c>
      <c r="B225" s="5" t="s">
        <v>1029</v>
      </c>
      <c r="C225" s="5" t="s">
        <v>65</v>
      </c>
      <c r="D225" s="6">
        <v>0.1</v>
      </c>
      <c r="E225" s="11">
        <f>단가대비표!O22</f>
        <v>10058</v>
      </c>
      <c r="F225" s="10">
        <f>TRUNC(E225*D225,2)</f>
        <v>1005.8</v>
      </c>
      <c r="G225" s="11">
        <f>단가대비표!P22</f>
        <v>0</v>
      </c>
      <c r="H225" s="10">
        <f>TRUNC(G225*D225,2)</f>
        <v>0</v>
      </c>
      <c r="I225" s="11">
        <f>단가대비표!V22</f>
        <v>0</v>
      </c>
      <c r="J225" s="10">
        <f>TRUNC(I225*D225,2)</f>
        <v>0</v>
      </c>
      <c r="K225" s="11">
        <f t="shared" si="56"/>
        <v>10058</v>
      </c>
      <c r="L225" s="10">
        <f t="shared" si="56"/>
        <v>1005.8</v>
      </c>
      <c r="M225" s="5" t="s">
        <v>51</v>
      </c>
      <c r="N225" s="1" t="s">
        <v>206</v>
      </c>
      <c r="O225" s="1" t="s">
        <v>1030</v>
      </c>
      <c r="P225" s="1" t="s">
        <v>60</v>
      </c>
      <c r="Q225" s="1" t="s">
        <v>60</v>
      </c>
      <c r="R225" s="1" t="s">
        <v>61</v>
      </c>
      <c r="AV225" s="1" t="s">
        <v>51</v>
      </c>
      <c r="AW225" s="1" t="s">
        <v>1031</v>
      </c>
      <c r="AX225" s="1" t="s">
        <v>51</v>
      </c>
      <c r="AY225" s="1" t="s">
        <v>51</v>
      </c>
    </row>
    <row r="226" spans="1:51" ht="30" customHeight="1" x14ac:dyDescent="0.3">
      <c r="A226" s="5" t="s">
        <v>746</v>
      </c>
      <c r="B226" s="5" t="s">
        <v>786</v>
      </c>
      <c r="C226" s="5" t="s">
        <v>631</v>
      </c>
      <c r="D226" s="6">
        <v>1</v>
      </c>
      <c r="E226" s="11">
        <f>TRUNC(SUMIF(V224:V228, RIGHTB(O226, 1), F224:F228)*U226, 2)</f>
        <v>201.16</v>
      </c>
      <c r="F226" s="10">
        <f>TRUNC(E226*D226,2)</f>
        <v>201.16</v>
      </c>
      <c r="G226" s="11">
        <v>0</v>
      </c>
      <c r="H226" s="10">
        <f>TRUNC(G226*D226,2)</f>
        <v>0</v>
      </c>
      <c r="I226" s="11">
        <v>0</v>
      </c>
      <c r="J226" s="10">
        <f>TRUNC(I226*D226,2)</f>
        <v>0</v>
      </c>
      <c r="K226" s="11">
        <f t="shared" si="56"/>
        <v>201.16</v>
      </c>
      <c r="L226" s="10">
        <f t="shared" si="56"/>
        <v>201.16</v>
      </c>
      <c r="M226" s="5" t="s">
        <v>51</v>
      </c>
      <c r="N226" s="1" t="s">
        <v>206</v>
      </c>
      <c r="O226" s="1" t="s">
        <v>657</v>
      </c>
      <c r="P226" s="1" t="s">
        <v>60</v>
      </c>
      <c r="Q226" s="1" t="s">
        <v>60</v>
      </c>
      <c r="R226" s="1" t="s">
        <v>60</v>
      </c>
      <c r="S226">
        <v>0</v>
      </c>
      <c r="T226">
        <v>0</v>
      </c>
      <c r="U226">
        <v>0.02</v>
      </c>
      <c r="AV226" s="1" t="s">
        <v>51</v>
      </c>
      <c r="AW226" s="1" t="s">
        <v>1032</v>
      </c>
      <c r="AX226" s="1" t="s">
        <v>51</v>
      </c>
      <c r="AY226" s="1" t="s">
        <v>51</v>
      </c>
    </row>
    <row r="227" spans="1:51" ht="30" customHeight="1" x14ac:dyDescent="0.3">
      <c r="A227" s="5" t="s">
        <v>769</v>
      </c>
      <c r="B227" s="5" t="s">
        <v>751</v>
      </c>
      <c r="C227" s="5" t="s">
        <v>752</v>
      </c>
      <c r="D227" s="6">
        <f>공량산출근거서!K114</f>
        <v>1.2E-2</v>
      </c>
      <c r="E227" s="11">
        <f>단가대비표!O169</f>
        <v>0</v>
      </c>
      <c r="F227" s="10">
        <f>TRUNC(E227*D227,2)</f>
        <v>0</v>
      </c>
      <c r="G227" s="11">
        <f>단가대비표!P169</f>
        <v>273676</v>
      </c>
      <c r="H227" s="10">
        <f>TRUNC(G227*D227,2)</f>
        <v>3284.11</v>
      </c>
      <c r="I227" s="11">
        <f>단가대비표!V169</f>
        <v>0</v>
      </c>
      <c r="J227" s="10">
        <f>TRUNC(I227*D227,2)</f>
        <v>0</v>
      </c>
      <c r="K227" s="11">
        <f t="shared" si="56"/>
        <v>273676</v>
      </c>
      <c r="L227" s="10">
        <f t="shared" si="56"/>
        <v>3284.11</v>
      </c>
      <c r="M227" s="5" t="s">
        <v>1033</v>
      </c>
      <c r="N227" s="1" t="s">
        <v>206</v>
      </c>
      <c r="O227" s="1" t="s">
        <v>770</v>
      </c>
      <c r="P227" s="1" t="s">
        <v>60</v>
      </c>
      <c r="Q227" s="1" t="s">
        <v>60</v>
      </c>
      <c r="R227" s="1" t="s">
        <v>61</v>
      </c>
      <c r="W227">
        <v>2</v>
      </c>
      <c r="AV227" s="1" t="s">
        <v>51</v>
      </c>
      <c r="AW227" s="1" t="s">
        <v>1034</v>
      </c>
      <c r="AX227" s="1" t="s">
        <v>51</v>
      </c>
      <c r="AY227" s="1" t="s">
        <v>51</v>
      </c>
    </row>
    <row r="228" spans="1:51" ht="30" customHeight="1" x14ac:dyDescent="0.3">
      <c r="A228" s="5" t="s">
        <v>758</v>
      </c>
      <c r="B228" s="5" t="s">
        <v>759</v>
      </c>
      <c r="C228" s="5" t="s">
        <v>631</v>
      </c>
      <c r="D228" s="6">
        <v>1</v>
      </c>
      <c r="E228" s="11">
        <f>TRUNC(SUMIF(W224:W228, RIGHTB(O228, 1), H224:H228)*U228, 2)</f>
        <v>98.52</v>
      </c>
      <c r="F228" s="10">
        <f>TRUNC(E228*D228,2)</f>
        <v>98.52</v>
      </c>
      <c r="G228" s="11">
        <v>0</v>
      </c>
      <c r="H228" s="10">
        <f>TRUNC(G228*D228,2)</f>
        <v>0</v>
      </c>
      <c r="I228" s="11">
        <v>0</v>
      </c>
      <c r="J228" s="10">
        <f>TRUNC(I228*D228,2)</f>
        <v>0</v>
      </c>
      <c r="K228" s="11">
        <f t="shared" si="56"/>
        <v>98.52</v>
      </c>
      <c r="L228" s="10">
        <f t="shared" si="56"/>
        <v>98.52</v>
      </c>
      <c r="M228" s="5" t="s">
        <v>51</v>
      </c>
      <c r="N228" s="1" t="s">
        <v>206</v>
      </c>
      <c r="O228" s="1" t="s">
        <v>748</v>
      </c>
      <c r="P228" s="1" t="s">
        <v>60</v>
      </c>
      <c r="Q228" s="1" t="s">
        <v>60</v>
      </c>
      <c r="R228" s="1" t="s">
        <v>60</v>
      </c>
      <c r="S228">
        <v>1</v>
      </c>
      <c r="T228">
        <v>0</v>
      </c>
      <c r="U228">
        <v>0.03</v>
      </c>
      <c r="AV228" s="1" t="s">
        <v>51</v>
      </c>
      <c r="AW228" s="1" t="s">
        <v>1035</v>
      </c>
      <c r="AX228" s="1" t="s">
        <v>51</v>
      </c>
      <c r="AY228" s="1" t="s">
        <v>51</v>
      </c>
    </row>
    <row r="229" spans="1:51" ht="30" customHeight="1" x14ac:dyDescent="0.3">
      <c r="A229" s="5" t="s">
        <v>762</v>
      </c>
      <c r="B229" s="5" t="s">
        <v>51</v>
      </c>
      <c r="C229" s="5" t="s">
        <v>51</v>
      </c>
      <c r="D229" s="6"/>
      <c r="E229" s="11"/>
      <c r="F229" s="10">
        <f>TRUNC(SUMIF(N224:N228, N223, F224:F228),0)</f>
        <v>11363</v>
      </c>
      <c r="G229" s="11"/>
      <c r="H229" s="10">
        <f>TRUNC(SUMIF(N224:N228, N223, H224:H228),0)</f>
        <v>3284</v>
      </c>
      <c r="I229" s="11"/>
      <c r="J229" s="10">
        <f>TRUNC(SUMIF(N224:N228, N223, J224:J228),0)</f>
        <v>0</v>
      </c>
      <c r="K229" s="11"/>
      <c r="L229" s="10">
        <f>F229+H229+J229</f>
        <v>14647</v>
      </c>
      <c r="M229" s="5" t="s">
        <v>51</v>
      </c>
      <c r="N229" s="1" t="s">
        <v>208</v>
      </c>
      <c r="O229" s="1" t="s">
        <v>208</v>
      </c>
      <c r="P229" s="1" t="s">
        <v>51</v>
      </c>
      <c r="Q229" s="1" t="s">
        <v>51</v>
      </c>
      <c r="R229" s="1" t="s">
        <v>51</v>
      </c>
      <c r="AV229" s="1" t="s">
        <v>51</v>
      </c>
      <c r="AW229" s="1" t="s">
        <v>51</v>
      </c>
      <c r="AX229" s="1" t="s">
        <v>51</v>
      </c>
      <c r="AY229" s="1" t="s">
        <v>51</v>
      </c>
    </row>
    <row r="230" spans="1:51" ht="30" customHeight="1" x14ac:dyDescent="0.3">
      <c r="A230" s="6"/>
      <c r="B230" s="6"/>
      <c r="C230" s="6"/>
      <c r="D230" s="6"/>
      <c r="E230" s="11"/>
      <c r="F230" s="10"/>
      <c r="G230" s="11"/>
      <c r="H230" s="10"/>
      <c r="I230" s="11"/>
      <c r="J230" s="10"/>
      <c r="K230" s="11"/>
      <c r="L230" s="10"/>
      <c r="M230" s="6"/>
    </row>
    <row r="231" spans="1:51" ht="30" customHeight="1" x14ac:dyDescent="0.3">
      <c r="A231" s="37" t="s">
        <v>1036</v>
      </c>
      <c r="B231" s="37"/>
      <c r="C231" s="37"/>
      <c r="D231" s="37"/>
      <c r="E231" s="38"/>
      <c r="F231" s="39"/>
      <c r="G231" s="38"/>
      <c r="H231" s="39"/>
      <c r="I231" s="38"/>
      <c r="J231" s="39"/>
      <c r="K231" s="38"/>
      <c r="L231" s="39"/>
      <c r="M231" s="37"/>
      <c r="N231" s="1" t="s">
        <v>213</v>
      </c>
    </row>
    <row r="232" spans="1:51" ht="30" customHeight="1" x14ac:dyDescent="0.3">
      <c r="A232" s="5" t="s">
        <v>1037</v>
      </c>
      <c r="B232" s="5" t="s">
        <v>51</v>
      </c>
      <c r="C232" s="5" t="s">
        <v>211</v>
      </c>
      <c r="D232" s="6">
        <v>1</v>
      </c>
      <c r="E232" s="11">
        <f>단가대비표!O156</f>
        <v>0</v>
      </c>
      <c r="F232" s="10">
        <f>TRUNC(E232*D232,2)</f>
        <v>0</v>
      </c>
      <c r="G232" s="11">
        <f>단가대비표!P156</f>
        <v>0</v>
      </c>
      <c r="H232" s="10">
        <f>TRUNC(G232*D232,2)</f>
        <v>0</v>
      </c>
      <c r="I232" s="11">
        <f>단가대비표!V156</f>
        <v>0</v>
      </c>
      <c r="J232" s="10">
        <f>TRUNC(I232*D232,2)</f>
        <v>0</v>
      </c>
      <c r="K232" s="11">
        <f t="shared" ref="K232:L234" si="57">TRUNC(E232+G232+I232,2)</f>
        <v>0</v>
      </c>
      <c r="L232" s="10">
        <f t="shared" si="57"/>
        <v>0</v>
      </c>
      <c r="M232" s="5" t="s">
        <v>1038</v>
      </c>
      <c r="N232" s="1" t="s">
        <v>213</v>
      </c>
      <c r="O232" s="1" t="s">
        <v>1039</v>
      </c>
      <c r="P232" s="1" t="s">
        <v>60</v>
      </c>
      <c r="Q232" s="1" t="s">
        <v>60</v>
      </c>
      <c r="R232" s="1" t="s">
        <v>61</v>
      </c>
      <c r="AV232" s="1" t="s">
        <v>51</v>
      </c>
      <c r="AW232" s="1" t="s">
        <v>1040</v>
      </c>
      <c r="AX232" s="1" t="s">
        <v>51</v>
      </c>
      <c r="AY232" s="1" t="s">
        <v>51</v>
      </c>
    </row>
    <row r="233" spans="1:51" ht="30" customHeight="1" x14ac:dyDescent="0.3">
      <c r="A233" s="5" t="s">
        <v>769</v>
      </c>
      <c r="B233" s="5" t="s">
        <v>751</v>
      </c>
      <c r="C233" s="5" t="s">
        <v>752</v>
      </c>
      <c r="D233" s="6">
        <f>공량산출근거서!K117</f>
        <v>0.3367</v>
      </c>
      <c r="E233" s="11">
        <f>단가대비표!O169</f>
        <v>0</v>
      </c>
      <c r="F233" s="10">
        <f>TRUNC(E233*D233,2)</f>
        <v>0</v>
      </c>
      <c r="G233" s="11">
        <f>단가대비표!P169</f>
        <v>273676</v>
      </c>
      <c r="H233" s="10">
        <f>TRUNC(G233*D233,2)</f>
        <v>92146.7</v>
      </c>
      <c r="I233" s="11">
        <f>단가대비표!V169</f>
        <v>0</v>
      </c>
      <c r="J233" s="10">
        <f>TRUNC(I233*D233,2)</f>
        <v>0</v>
      </c>
      <c r="K233" s="11">
        <f t="shared" si="57"/>
        <v>273676</v>
      </c>
      <c r="L233" s="10">
        <f t="shared" si="57"/>
        <v>92146.7</v>
      </c>
      <c r="M233" s="5" t="s">
        <v>51</v>
      </c>
      <c r="N233" s="1" t="s">
        <v>213</v>
      </c>
      <c r="O233" s="1" t="s">
        <v>770</v>
      </c>
      <c r="P233" s="1" t="s">
        <v>60</v>
      </c>
      <c r="Q233" s="1" t="s">
        <v>60</v>
      </c>
      <c r="R233" s="1" t="s">
        <v>61</v>
      </c>
      <c r="V233">
        <v>1</v>
      </c>
      <c r="AV233" s="1" t="s">
        <v>51</v>
      </c>
      <c r="AW233" s="1" t="s">
        <v>1041</v>
      </c>
      <c r="AX233" s="1" t="s">
        <v>51</v>
      </c>
      <c r="AY233" s="1" t="s">
        <v>51</v>
      </c>
    </row>
    <row r="234" spans="1:51" ht="30" customHeight="1" x14ac:dyDescent="0.3">
      <c r="A234" s="5" t="s">
        <v>758</v>
      </c>
      <c r="B234" s="5" t="s">
        <v>759</v>
      </c>
      <c r="C234" s="5" t="s">
        <v>631</v>
      </c>
      <c r="D234" s="6">
        <v>1</v>
      </c>
      <c r="E234" s="11">
        <f>TRUNC(SUMIF(V232:V234, RIGHTB(O234, 1), H232:H234)*U234, 2)</f>
        <v>2764.4</v>
      </c>
      <c r="F234" s="10">
        <f>TRUNC(E234*D234,2)</f>
        <v>2764.4</v>
      </c>
      <c r="G234" s="11">
        <v>0</v>
      </c>
      <c r="H234" s="10">
        <f>TRUNC(G234*D234,2)</f>
        <v>0</v>
      </c>
      <c r="I234" s="11">
        <v>0</v>
      </c>
      <c r="J234" s="10">
        <f>TRUNC(I234*D234,2)</f>
        <v>0</v>
      </c>
      <c r="K234" s="11">
        <f t="shared" si="57"/>
        <v>2764.4</v>
      </c>
      <c r="L234" s="10">
        <f t="shared" si="57"/>
        <v>2764.4</v>
      </c>
      <c r="M234" s="5" t="s">
        <v>51</v>
      </c>
      <c r="N234" s="1" t="s">
        <v>213</v>
      </c>
      <c r="O234" s="1" t="s">
        <v>657</v>
      </c>
      <c r="P234" s="1" t="s">
        <v>60</v>
      </c>
      <c r="Q234" s="1" t="s">
        <v>60</v>
      </c>
      <c r="R234" s="1" t="s">
        <v>60</v>
      </c>
      <c r="S234">
        <v>1</v>
      </c>
      <c r="T234">
        <v>0</v>
      </c>
      <c r="U234">
        <v>0.03</v>
      </c>
      <c r="AV234" s="1" t="s">
        <v>51</v>
      </c>
      <c r="AW234" s="1" t="s">
        <v>1042</v>
      </c>
      <c r="AX234" s="1" t="s">
        <v>51</v>
      </c>
      <c r="AY234" s="1" t="s">
        <v>51</v>
      </c>
    </row>
    <row r="235" spans="1:51" ht="30" customHeight="1" x14ac:dyDescent="0.3">
      <c r="A235" s="5" t="s">
        <v>762</v>
      </c>
      <c r="B235" s="5" t="s">
        <v>51</v>
      </c>
      <c r="C235" s="5" t="s">
        <v>51</v>
      </c>
      <c r="D235" s="6"/>
      <c r="E235" s="11"/>
      <c r="F235" s="10">
        <f>TRUNC(SUMIF(N232:N234, N231, F232:F234),0)</f>
        <v>2764</v>
      </c>
      <c r="G235" s="11"/>
      <c r="H235" s="10">
        <f>TRUNC(SUMIF(N232:N234, N231, H232:H234),0)</f>
        <v>92146</v>
      </c>
      <c r="I235" s="11"/>
      <c r="J235" s="10">
        <f>TRUNC(SUMIF(N232:N234, N231, J232:J234),0)</f>
        <v>0</v>
      </c>
      <c r="K235" s="11"/>
      <c r="L235" s="10">
        <f>F235+H235+J235</f>
        <v>94910</v>
      </c>
      <c r="M235" s="5" t="s">
        <v>51</v>
      </c>
      <c r="N235" s="1" t="s">
        <v>208</v>
      </c>
      <c r="O235" s="1" t="s">
        <v>208</v>
      </c>
      <c r="P235" s="1" t="s">
        <v>51</v>
      </c>
      <c r="Q235" s="1" t="s">
        <v>51</v>
      </c>
      <c r="R235" s="1" t="s">
        <v>51</v>
      </c>
      <c r="AV235" s="1" t="s">
        <v>51</v>
      </c>
      <c r="AW235" s="1" t="s">
        <v>51</v>
      </c>
      <c r="AX235" s="1" t="s">
        <v>51</v>
      </c>
      <c r="AY235" s="1" t="s">
        <v>51</v>
      </c>
    </row>
    <row r="236" spans="1:51" ht="30" customHeight="1" x14ac:dyDescent="0.3">
      <c r="A236" s="6"/>
      <c r="B236" s="6"/>
      <c r="C236" s="6"/>
      <c r="D236" s="6"/>
      <c r="E236" s="11"/>
      <c r="F236" s="10"/>
      <c r="G236" s="11"/>
      <c r="H236" s="10"/>
      <c r="I236" s="11"/>
      <c r="J236" s="10"/>
      <c r="K236" s="11"/>
      <c r="L236" s="10"/>
      <c r="M236" s="6"/>
    </row>
    <row r="237" spans="1:51" ht="30" customHeight="1" x14ac:dyDescent="0.3">
      <c r="A237" s="37" t="s">
        <v>1043</v>
      </c>
      <c r="B237" s="37"/>
      <c r="C237" s="37"/>
      <c r="D237" s="37"/>
      <c r="E237" s="38"/>
      <c r="F237" s="39"/>
      <c r="G237" s="38"/>
      <c r="H237" s="39"/>
      <c r="I237" s="38"/>
      <c r="J237" s="39"/>
      <c r="K237" s="38"/>
      <c r="L237" s="39"/>
      <c r="M237" s="37"/>
      <c r="N237" s="1" t="s">
        <v>217</v>
      </c>
    </row>
    <row r="238" spans="1:51" ht="30" customHeight="1" x14ac:dyDescent="0.3">
      <c r="A238" s="5" t="s">
        <v>1044</v>
      </c>
      <c r="B238" s="5" t="s">
        <v>51</v>
      </c>
      <c r="C238" s="5" t="s">
        <v>211</v>
      </c>
      <c r="D238" s="6">
        <v>1</v>
      </c>
      <c r="E238" s="11">
        <f>단가대비표!O159</f>
        <v>0</v>
      </c>
      <c r="F238" s="10">
        <f>TRUNC(E238*D238,2)</f>
        <v>0</v>
      </c>
      <c r="G238" s="11">
        <f>단가대비표!P159</f>
        <v>0</v>
      </c>
      <c r="H238" s="10">
        <f>TRUNC(G238*D238,2)</f>
        <v>0</v>
      </c>
      <c r="I238" s="11">
        <f>단가대비표!V159</f>
        <v>0</v>
      </c>
      <c r="J238" s="10">
        <f>TRUNC(I238*D238,2)</f>
        <v>0</v>
      </c>
      <c r="K238" s="11">
        <f t="shared" ref="K238:L240" si="58">TRUNC(E238+G238+I238,2)</f>
        <v>0</v>
      </c>
      <c r="L238" s="10">
        <f t="shared" si="58"/>
        <v>0</v>
      </c>
      <c r="M238" s="5" t="s">
        <v>1045</v>
      </c>
      <c r="N238" s="1" t="s">
        <v>217</v>
      </c>
      <c r="O238" s="1" t="s">
        <v>1046</v>
      </c>
      <c r="P238" s="1" t="s">
        <v>60</v>
      </c>
      <c r="Q238" s="1" t="s">
        <v>60</v>
      </c>
      <c r="R238" s="1" t="s">
        <v>61</v>
      </c>
      <c r="AV238" s="1" t="s">
        <v>51</v>
      </c>
      <c r="AW238" s="1" t="s">
        <v>1047</v>
      </c>
      <c r="AX238" s="1" t="s">
        <v>51</v>
      </c>
      <c r="AY238" s="1" t="s">
        <v>51</v>
      </c>
    </row>
    <row r="239" spans="1:51" ht="30" customHeight="1" x14ac:dyDescent="0.3">
      <c r="A239" s="5" t="s">
        <v>769</v>
      </c>
      <c r="B239" s="5" t="s">
        <v>751</v>
      </c>
      <c r="C239" s="5" t="s">
        <v>752</v>
      </c>
      <c r="D239" s="6">
        <f>공량산출근거서!K120</f>
        <v>1.6121000000000001</v>
      </c>
      <c r="E239" s="11">
        <f>단가대비표!O169</f>
        <v>0</v>
      </c>
      <c r="F239" s="10">
        <f>TRUNC(E239*D239,2)</f>
        <v>0</v>
      </c>
      <c r="G239" s="11">
        <f>단가대비표!P169</f>
        <v>273676</v>
      </c>
      <c r="H239" s="10">
        <f>TRUNC(G239*D239,2)</f>
        <v>441193.07</v>
      </c>
      <c r="I239" s="11">
        <f>단가대비표!V169</f>
        <v>0</v>
      </c>
      <c r="J239" s="10">
        <f>TRUNC(I239*D239,2)</f>
        <v>0</v>
      </c>
      <c r="K239" s="11">
        <f t="shared" si="58"/>
        <v>273676</v>
      </c>
      <c r="L239" s="10">
        <f t="shared" si="58"/>
        <v>441193.07</v>
      </c>
      <c r="M239" s="5" t="s">
        <v>51</v>
      </c>
      <c r="N239" s="1" t="s">
        <v>217</v>
      </c>
      <c r="O239" s="1" t="s">
        <v>770</v>
      </c>
      <c r="P239" s="1" t="s">
        <v>60</v>
      </c>
      <c r="Q239" s="1" t="s">
        <v>60</v>
      </c>
      <c r="R239" s="1" t="s">
        <v>61</v>
      </c>
      <c r="V239">
        <v>1</v>
      </c>
      <c r="AV239" s="1" t="s">
        <v>51</v>
      </c>
      <c r="AW239" s="1" t="s">
        <v>1048</v>
      </c>
      <c r="AX239" s="1" t="s">
        <v>51</v>
      </c>
      <c r="AY239" s="1" t="s">
        <v>51</v>
      </c>
    </row>
    <row r="240" spans="1:51" ht="30" customHeight="1" x14ac:dyDescent="0.3">
      <c r="A240" s="5" t="s">
        <v>758</v>
      </c>
      <c r="B240" s="5" t="s">
        <v>772</v>
      </c>
      <c r="C240" s="5" t="s">
        <v>631</v>
      </c>
      <c r="D240" s="6">
        <v>1</v>
      </c>
      <c r="E240" s="11">
        <f>TRUNC(SUMIF(V238:V240, RIGHTB(O240, 1), H238:H240)*U240, 2)</f>
        <v>13235.79</v>
      </c>
      <c r="F240" s="10">
        <f>TRUNC(E240*D240,2)</f>
        <v>13235.79</v>
      </c>
      <c r="G240" s="11">
        <v>0</v>
      </c>
      <c r="H240" s="10">
        <f>TRUNC(G240*D240,2)</f>
        <v>0</v>
      </c>
      <c r="I240" s="11">
        <v>0</v>
      </c>
      <c r="J240" s="10">
        <f>TRUNC(I240*D240,2)</f>
        <v>0</v>
      </c>
      <c r="K240" s="11">
        <f t="shared" si="58"/>
        <v>13235.79</v>
      </c>
      <c r="L240" s="10">
        <f t="shared" si="58"/>
        <v>13235.79</v>
      </c>
      <c r="M240" s="5" t="s">
        <v>51</v>
      </c>
      <c r="N240" s="1" t="s">
        <v>217</v>
      </c>
      <c r="O240" s="1" t="s">
        <v>657</v>
      </c>
      <c r="P240" s="1" t="s">
        <v>60</v>
      </c>
      <c r="Q240" s="1" t="s">
        <v>60</v>
      </c>
      <c r="R240" s="1" t="s">
        <v>60</v>
      </c>
      <c r="S240">
        <v>1</v>
      </c>
      <c r="T240">
        <v>0</v>
      </c>
      <c r="U240">
        <v>0.03</v>
      </c>
      <c r="AV240" s="1" t="s">
        <v>51</v>
      </c>
      <c r="AW240" s="1" t="s">
        <v>1049</v>
      </c>
      <c r="AX240" s="1" t="s">
        <v>51</v>
      </c>
      <c r="AY240" s="1" t="s">
        <v>51</v>
      </c>
    </row>
    <row r="241" spans="1:51" ht="30" customHeight="1" x14ac:dyDescent="0.3">
      <c r="A241" s="5" t="s">
        <v>762</v>
      </c>
      <c r="B241" s="5" t="s">
        <v>51</v>
      </c>
      <c r="C241" s="5" t="s">
        <v>51</v>
      </c>
      <c r="D241" s="6"/>
      <c r="E241" s="11"/>
      <c r="F241" s="10">
        <f>TRUNC(SUMIF(N238:N240, N237, F238:F240),0)</f>
        <v>13235</v>
      </c>
      <c r="G241" s="11"/>
      <c r="H241" s="10">
        <f>TRUNC(SUMIF(N238:N240, N237, H238:H240),0)</f>
        <v>441193</v>
      </c>
      <c r="I241" s="11"/>
      <c r="J241" s="10">
        <f>TRUNC(SUMIF(N238:N240, N237, J238:J240),0)</f>
        <v>0</v>
      </c>
      <c r="K241" s="11"/>
      <c r="L241" s="10">
        <f>F241+H241+J241</f>
        <v>454428</v>
      </c>
      <c r="M241" s="5" t="s">
        <v>51</v>
      </c>
      <c r="N241" s="1" t="s">
        <v>208</v>
      </c>
      <c r="O241" s="1" t="s">
        <v>208</v>
      </c>
      <c r="P241" s="1" t="s">
        <v>51</v>
      </c>
      <c r="Q241" s="1" t="s">
        <v>51</v>
      </c>
      <c r="R241" s="1" t="s">
        <v>51</v>
      </c>
      <c r="AV241" s="1" t="s">
        <v>51</v>
      </c>
      <c r="AW241" s="1" t="s">
        <v>51</v>
      </c>
      <c r="AX241" s="1" t="s">
        <v>51</v>
      </c>
      <c r="AY241" s="1" t="s">
        <v>51</v>
      </c>
    </row>
    <row r="242" spans="1:51" ht="30" customHeight="1" x14ac:dyDescent="0.3">
      <c r="A242" s="6"/>
      <c r="B242" s="6"/>
      <c r="C242" s="6"/>
      <c r="D242" s="6"/>
      <c r="E242" s="11"/>
      <c r="F242" s="10"/>
      <c r="G242" s="11"/>
      <c r="H242" s="10"/>
      <c r="I242" s="11"/>
      <c r="J242" s="10"/>
      <c r="K242" s="11"/>
      <c r="L242" s="10"/>
      <c r="M242" s="6"/>
    </row>
    <row r="243" spans="1:51" ht="30" customHeight="1" x14ac:dyDescent="0.3">
      <c r="A243" s="37" t="s">
        <v>1050</v>
      </c>
      <c r="B243" s="37"/>
      <c r="C243" s="37"/>
      <c r="D243" s="37"/>
      <c r="E243" s="38"/>
      <c r="F243" s="39"/>
      <c r="G243" s="38"/>
      <c r="H243" s="39"/>
      <c r="I243" s="38"/>
      <c r="J243" s="39"/>
      <c r="K243" s="38"/>
      <c r="L243" s="39"/>
      <c r="M243" s="37"/>
      <c r="N243" s="1" t="s">
        <v>228</v>
      </c>
    </row>
    <row r="244" spans="1:51" ht="30" customHeight="1" x14ac:dyDescent="0.3">
      <c r="A244" s="5" t="s">
        <v>1051</v>
      </c>
      <c r="B244" s="5" t="s">
        <v>51</v>
      </c>
      <c r="C244" s="5" t="s">
        <v>211</v>
      </c>
      <c r="D244" s="6">
        <v>1</v>
      </c>
      <c r="E244" s="11">
        <f>단가대비표!O157</f>
        <v>0</v>
      </c>
      <c r="F244" s="10">
        <f>TRUNC(E244*D244,2)</f>
        <v>0</v>
      </c>
      <c r="G244" s="11">
        <f>단가대비표!P157</f>
        <v>0</v>
      </c>
      <c r="H244" s="10">
        <f>TRUNC(G244*D244,2)</f>
        <v>0</v>
      </c>
      <c r="I244" s="11">
        <f>단가대비표!V157</f>
        <v>0</v>
      </c>
      <c r="J244" s="10">
        <f>TRUNC(I244*D244,2)</f>
        <v>0</v>
      </c>
      <c r="K244" s="11">
        <f t="shared" ref="K244:L246" si="59">TRUNC(E244+G244+I244,2)</f>
        <v>0</v>
      </c>
      <c r="L244" s="10">
        <f t="shared" si="59"/>
        <v>0</v>
      </c>
      <c r="M244" s="5" t="s">
        <v>1052</v>
      </c>
      <c r="N244" s="1" t="s">
        <v>228</v>
      </c>
      <c r="O244" s="1" t="s">
        <v>1053</v>
      </c>
      <c r="P244" s="1" t="s">
        <v>60</v>
      </c>
      <c r="Q244" s="1" t="s">
        <v>60</v>
      </c>
      <c r="R244" s="1" t="s">
        <v>61</v>
      </c>
      <c r="AV244" s="1" t="s">
        <v>51</v>
      </c>
      <c r="AW244" s="1" t="s">
        <v>1054</v>
      </c>
      <c r="AX244" s="1" t="s">
        <v>51</v>
      </c>
      <c r="AY244" s="1" t="s">
        <v>51</v>
      </c>
    </row>
    <row r="245" spans="1:51" ht="30" customHeight="1" x14ac:dyDescent="0.3">
      <c r="A245" s="5" t="s">
        <v>769</v>
      </c>
      <c r="B245" s="5" t="s">
        <v>751</v>
      </c>
      <c r="C245" s="5" t="s">
        <v>752</v>
      </c>
      <c r="D245" s="6">
        <f>공량산출근거서!K123</f>
        <v>7.1334999999999997</v>
      </c>
      <c r="E245" s="11">
        <f>단가대비표!O169</f>
        <v>0</v>
      </c>
      <c r="F245" s="10">
        <f>TRUNC(E245*D245,2)</f>
        <v>0</v>
      </c>
      <c r="G245" s="11">
        <f>단가대비표!P169</f>
        <v>273676</v>
      </c>
      <c r="H245" s="10">
        <f>TRUNC(G245*D245,2)</f>
        <v>1952267.74</v>
      </c>
      <c r="I245" s="11">
        <f>단가대비표!V169</f>
        <v>0</v>
      </c>
      <c r="J245" s="10">
        <f>TRUNC(I245*D245,2)</f>
        <v>0</v>
      </c>
      <c r="K245" s="11">
        <f t="shared" si="59"/>
        <v>273676</v>
      </c>
      <c r="L245" s="10">
        <f t="shared" si="59"/>
        <v>1952267.74</v>
      </c>
      <c r="M245" s="5" t="s">
        <v>51</v>
      </c>
      <c r="N245" s="1" t="s">
        <v>228</v>
      </c>
      <c r="O245" s="1" t="s">
        <v>770</v>
      </c>
      <c r="P245" s="1" t="s">
        <v>60</v>
      </c>
      <c r="Q245" s="1" t="s">
        <v>60</v>
      </c>
      <c r="R245" s="1" t="s">
        <v>61</v>
      </c>
      <c r="V245">
        <v>1</v>
      </c>
      <c r="AV245" s="1" t="s">
        <v>51</v>
      </c>
      <c r="AW245" s="1" t="s">
        <v>1055</v>
      </c>
      <c r="AX245" s="1" t="s">
        <v>51</v>
      </c>
      <c r="AY245" s="1" t="s">
        <v>51</v>
      </c>
    </row>
    <row r="246" spans="1:51" ht="30" customHeight="1" x14ac:dyDescent="0.3">
      <c r="A246" s="5" t="s">
        <v>758</v>
      </c>
      <c r="B246" s="5" t="s">
        <v>759</v>
      </c>
      <c r="C246" s="5" t="s">
        <v>631</v>
      </c>
      <c r="D246" s="6">
        <v>1</v>
      </c>
      <c r="E246" s="11">
        <f>TRUNC(SUMIF(V244:V246, RIGHTB(O246, 1), H244:H246)*U246, 2)</f>
        <v>58568.03</v>
      </c>
      <c r="F246" s="10">
        <f>TRUNC(E246*D246,2)</f>
        <v>58568.03</v>
      </c>
      <c r="G246" s="11">
        <v>0</v>
      </c>
      <c r="H246" s="10">
        <f>TRUNC(G246*D246,2)</f>
        <v>0</v>
      </c>
      <c r="I246" s="11">
        <v>0</v>
      </c>
      <c r="J246" s="10">
        <f>TRUNC(I246*D246,2)</f>
        <v>0</v>
      </c>
      <c r="K246" s="11">
        <f t="shared" si="59"/>
        <v>58568.03</v>
      </c>
      <c r="L246" s="10">
        <f t="shared" si="59"/>
        <v>58568.03</v>
      </c>
      <c r="M246" s="5" t="s">
        <v>51</v>
      </c>
      <c r="N246" s="1" t="s">
        <v>228</v>
      </c>
      <c r="O246" s="1" t="s">
        <v>657</v>
      </c>
      <c r="P246" s="1" t="s">
        <v>60</v>
      </c>
      <c r="Q246" s="1" t="s">
        <v>60</v>
      </c>
      <c r="R246" s="1" t="s">
        <v>60</v>
      </c>
      <c r="S246">
        <v>1</v>
      </c>
      <c r="T246">
        <v>0</v>
      </c>
      <c r="U246">
        <v>0.03</v>
      </c>
      <c r="AV246" s="1" t="s">
        <v>51</v>
      </c>
      <c r="AW246" s="1" t="s">
        <v>1056</v>
      </c>
      <c r="AX246" s="1" t="s">
        <v>51</v>
      </c>
      <c r="AY246" s="1" t="s">
        <v>51</v>
      </c>
    </row>
    <row r="247" spans="1:51" ht="30" customHeight="1" x14ac:dyDescent="0.3">
      <c r="A247" s="5" t="s">
        <v>762</v>
      </c>
      <c r="B247" s="5" t="s">
        <v>51</v>
      </c>
      <c r="C247" s="5" t="s">
        <v>51</v>
      </c>
      <c r="D247" s="6"/>
      <c r="E247" s="11"/>
      <c r="F247" s="10">
        <f>TRUNC(SUMIF(N244:N246, N243, F244:F246),0)</f>
        <v>58568</v>
      </c>
      <c r="G247" s="11"/>
      <c r="H247" s="10">
        <f>TRUNC(SUMIF(N244:N246, N243, H244:H246),0)</f>
        <v>1952267</v>
      </c>
      <c r="I247" s="11"/>
      <c r="J247" s="10">
        <f>TRUNC(SUMIF(N244:N246, N243, J244:J246),0)</f>
        <v>0</v>
      </c>
      <c r="K247" s="11"/>
      <c r="L247" s="10">
        <f>F247+H247+J247</f>
        <v>2010835</v>
      </c>
      <c r="M247" s="5" t="s">
        <v>51</v>
      </c>
      <c r="N247" s="1" t="s">
        <v>208</v>
      </c>
      <c r="O247" s="1" t="s">
        <v>208</v>
      </c>
      <c r="P247" s="1" t="s">
        <v>51</v>
      </c>
      <c r="Q247" s="1" t="s">
        <v>51</v>
      </c>
      <c r="R247" s="1" t="s">
        <v>51</v>
      </c>
      <c r="AV247" s="1" t="s">
        <v>51</v>
      </c>
      <c r="AW247" s="1" t="s">
        <v>51</v>
      </c>
      <c r="AX247" s="1" t="s">
        <v>51</v>
      </c>
      <c r="AY247" s="1" t="s">
        <v>51</v>
      </c>
    </row>
    <row r="248" spans="1:51" ht="30" customHeight="1" x14ac:dyDescent="0.3">
      <c r="A248" s="6"/>
      <c r="B248" s="6"/>
      <c r="C248" s="6"/>
      <c r="D248" s="6"/>
      <c r="E248" s="11"/>
      <c r="F248" s="10"/>
      <c r="G248" s="11"/>
      <c r="H248" s="10"/>
      <c r="I248" s="11"/>
      <c r="J248" s="10"/>
      <c r="K248" s="11"/>
      <c r="L248" s="10"/>
      <c r="M248" s="6"/>
    </row>
    <row r="249" spans="1:51" ht="30" customHeight="1" x14ac:dyDescent="0.3">
      <c r="A249" s="37" t="s">
        <v>1057</v>
      </c>
      <c r="B249" s="37"/>
      <c r="C249" s="37"/>
      <c r="D249" s="37"/>
      <c r="E249" s="38"/>
      <c r="F249" s="39"/>
      <c r="G249" s="38"/>
      <c r="H249" s="39"/>
      <c r="I249" s="38"/>
      <c r="J249" s="39"/>
      <c r="K249" s="38"/>
      <c r="L249" s="39"/>
      <c r="M249" s="37"/>
      <c r="N249" s="1" t="s">
        <v>232</v>
      </c>
    </row>
    <row r="250" spans="1:51" ht="30" customHeight="1" x14ac:dyDescent="0.3">
      <c r="A250" s="5" t="s">
        <v>1058</v>
      </c>
      <c r="B250" s="5" t="s">
        <v>51</v>
      </c>
      <c r="C250" s="5" t="s">
        <v>211</v>
      </c>
      <c r="D250" s="6">
        <v>1</v>
      </c>
      <c r="E250" s="11">
        <f>단가대비표!O154</f>
        <v>0</v>
      </c>
      <c r="F250" s="10">
        <f>TRUNC(E250*D250,2)</f>
        <v>0</v>
      </c>
      <c r="G250" s="11">
        <f>단가대비표!P154</f>
        <v>0</v>
      </c>
      <c r="H250" s="10">
        <f>TRUNC(G250*D250,2)</f>
        <v>0</v>
      </c>
      <c r="I250" s="11">
        <f>단가대비표!V154</f>
        <v>0</v>
      </c>
      <c r="J250" s="10">
        <f>TRUNC(I250*D250,2)</f>
        <v>0</v>
      </c>
      <c r="K250" s="11">
        <f t="shared" ref="K250:L252" si="60">TRUNC(E250+G250+I250,2)</f>
        <v>0</v>
      </c>
      <c r="L250" s="10">
        <f t="shared" si="60"/>
        <v>0</v>
      </c>
      <c r="M250" s="5" t="s">
        <v>1059</v>
      </c>
      <c r="N250" s="1" t="s">
        <v>232</v>
      </c>
      <c r="O250" s="1" t="s">
        <v>1060</v>
      </c>
      <c r="P250" s="1" t="s">
        <v>60</v>
      </c>
      <c r="Q250" s="1" t="s">
        <v>60</v>
      </c>
      <c r="R250" s="1" t="s">
        <v>61</v>
      </c>
      <c r="AV250" s="1" t="s">
        <v>51</v>
      </c>
      <c r="AW250" s="1" t="s">
        <v>1061</v>
      </c>
      <c r="AX250" s="1" t="s">
        <v>51</v>
      </c>
      <c r="AY250" s="1" t="s">
        <v>51</v>
      </c>
    </row>
    <row r="251" spans="1:51" ht="30" customHeight="1" x14ac:dyDescent="0.3">
      <c r="A251" s="5" t="s">
        <v>769</v>
      </c>
      <c r="B251" s="5" t="s">
        <v>751</v>
      </c>
      <c r="C251" s="5" t="s">
        <v>752</v>
      </c>
      <c r="D251" s="6">
        <f>공량산출근거서!K126</f>
        <v>2.2677</v>
      </c>
      <c r="E251" s="11">
        <f>단가대비표!O169</f>
        <v>0</v>
      </c>
      <c r="F251" s="10">
        <f>TRUNC(E251*D251,2)</f>
        <v>0</v>
      </c>
      <c r="G251" s="11">
        <f>단가대비표!P169</f>
        <v>273676</v>
      </c>
      <c r="H251" s="10">
        <f>TRUNC(G251*D251,2)</f>
        <v>620615.06000000006</v>
      </c>
      <c r="I251" s="11">
        <f>단가대비표!V169</f>
        <v>0</v>
      </c>
      <c r="J251" s="10">
        <f>TRUNC(I251*D251,2)</f>
        <v>0</v>
      </c>
      <c r="K251" s="11">
        <f t="shared" si="60"/>
        <v>273676</v>
      </c>
      <c r="L251" s="10">
        <f t="shared" si="60"/>
        <v>620615.06000000006</v>
      </c>
      <c r="M251" s="5" t="s">
        <v>51</v>
      </c>
      <c r="N251" s="1" t="s">
        <v>232</v>
      </c>
      <c r="O251" s="1" t="s">
        <v>770</v>
      </c>
      <c r="P251" s="1" t="s">
        <v>60</v>
      </c>
      <c r="Q251" s="1" t="s">
        <v>60</v>
      </c>
      <c r="R251" s="1" t="s">
        <v>61</v>
      </c>
      <c r="V251">
        <v>1</v>
      </c>
      <c r="AV251" s="1" t="s">
        <v>51</v>
      </c>
      <c r="AW251" s="1" t="s">
        <v>1062</v>
      </c>
      <c r="AX251" s="1" t="s">
        <v>51</v>
      </c>
      <c r="AY251" s="1" t="s">
        <v>51</v>
      </c>
    </row>
    <row r="252" spans="1:51" ht="30" customHeight="1" x14ac:dyDescent="0.3">
      <c r="A252" s="5" t="s">
        <v>758</v>
      </c>
      <c r="B252" s="5" t="s">
        <v>759</v>
      </c>
      <c r="C252" s="5" t="s">
        <v>631</v>
      </c>
      <c r="D252" s="6">
        <v>1</v>
      </c>
      <c r="E252" s="11">
        <f>TRUNC(SUMIF(V250:V252, RIGHTB(O252, 1), H250:H252)*U252, 2)</f>
        <v>18618.45</v>
      </c>
      <c r="F252" s="10">
        <f>TRUNC(E252*D252,2)</f>
        <v>18618.45</v>
      </c>
      <c r="G252" s="11">
        <v>0</v>
      </c>
      <c r="H252" s="10">
        <f>TRUNC(G252*D252,2)</f>
        <v>0</v>
      </c>
      <c r="I252" s="11">
        <v>0</v>
      </c>
      <c r="J252" s="10">
        <f>TRUNC(I252*D252,2)</f>
        <v>0</v>
      </c>
      <c r="K252" s="11">
        <f t="shared" si="60"/>
        <v>18618.45</v>
      </c>
      <c r="L252" s="10">
        <f t="shared" si="60"/>
        <v>18618.45</v>
      </c>
      <c r="M252" s="5" t="s">
        <v>51</v>
      </c>
      <c r="N252" s="1" t="s">
        <v>232</v>
      </c>
      <c r="O252" s="1" t="s">
        <v>657</v>
      </c>
      <c r="P252" s="1" t="s">
        <v>60</v>
      </c>
      <c r="Q252" s="1" t="s">
        <v>60</v>
      </c>
      <c r="R252" s="1" t="s">
        <v>60</v>
      </c>
      <c r="S252">
        <v>1</v>
      </c>
      <c r="T252">
        <v>0</v>
      </c>
      <c r="U252">
        <v>0.03</v>
      </c>
      <c r="AV252" s="1" t="s">
        <v>51</v>
      </c>
      <c r="AW252" s="1" t="s">
        <v>1063</v>
      </c>
      <c r="AX252" s="1" t="s">
        <v>51</v>
      </c>
      <c r="AY252" s="1" t="s">
        <v>51</v>
      </c>
    </row>
    <row r="253" spans="1:51" ht="30" customHeight="1" x14ac:dyDescent="0.3">
      <c r="A253" s="5" t="s">
        <v>762</v>
      </c>
      <c r="B253" s="5" t="s">
        <v>51</v>
      </c>
      <c r="C253" s="5" t="s">
        <v>51</v>
      </c>
      <c r="D253" s="6"/>
      <c r="E253" s="11"/>
      <c r="F253" s="10">
        <f>TRUNC(SUMIF(N250:N252, N249, F250:F252),0)</f>
        <v>18618</v>
      </c>
      <c r="G253" s="11"/>
      <c r="H253" s="10">
        <f>TRUNC(SUMIF(N250:N252, N249, H250:H252),0)</f>
        <v>620615</v>
      </c>
      <c r="I253" s="11"/>
      <c r="J253" s="10">
        <f>TRUNC(SUMIF(N250:N252, N249, J250:J252),0)</f>
        <v>0</v>
      </c>
      <c r="K253" s="11"/>
      <c r="L253" s="10">
        <f>F253+H253+J253</f>
        <v>639233</v>
      </c>
      <c r="M253" s="5" t="s">
        <v>51</v>
      </c>
      <c r="N253" s="1" t="s">
        <v>208</v>
      </c>
      <c r="O253" s="1" t="s">
        <v>208</v>
      </c>
      <c r="P253" s="1" t="s">
        <v>51</v>
      </c>
      <c r="Q253" s="1" t="s">
        <v>51</v>
      </c>
      <c r="R253" s="1" t="s">
        <v>51</v>
      </c>
      <c r="AV253" s="1" t="s">
        <v>51</v>
      </c>
      <c r="AW253" s="1" t="s">
        <v>51</v>
      </c>
      <c r="AX253" s="1" t="s">
        <v>51</v>
      </c>
      <c r="AY253" s="1" t="s">
        <v>51</v>
      </c>
    </row>
    <row r="254" spans="1:51" ht="30" customHeight="1" x14ac:dyDescent="0.3">
      <c r="A254" s="6"/>
      <c r="B254" s="6"/>
      <c r="C254" s="6"/>
      <c r="D254" s="6"/>
      <c r="E254" s="11"/>
      <c r="F254" s="10"/>
      <c r="G254" s="11"/>
      <c r="H254" s="10"/>
      <c r="I254" s="11"/>
      <c r="J254" s="10"/>
      <c r="K254" s="11"/>
      <c r="L254" s="10"/>
      <c r="M254" s="6"/>
    </row>
    <row r="255" spans="1:51" ht="30" customHeight="1" x14ac:dyDescent="0.3">
      <c r="A255" s="37" t="s">
        <v>1064</v>
      </c>
      <c r="B255" s="37"/>
      <c r="C255" s="37"/>
      <c r="D255" s="37"/>
      <c r="E255" s="38"/>
      <c r="F255" s="39"/>
      <c r="G255" s="38"/>
      <c r="H255" s="39"/>
      <c r="I255" s="38"/>
      <c r="J255" s="39"/>
      <c r="K255" s="38"/>
      <c r="L255" s="39"/>
      <c r="M255" s="37"/>
      <c r="N255" s="1" t="s">
        <v>236</v>
      </c>
    </row>
    <row r="256" spans="1:51" ht="30" customHeight="1" x14ac:dyDescent="0.3">
      <c r="A256" s="5" t="s">
        <v>1065</v>
      </c>
      <c r="B256" s="5" t="s">
        <v>51</v>
      </c>
      <c r="C256" s="5" t="s">
        <v>211</v>
      </c>
      <c r="D256" s="6">
        <v>1</v>
      </c>
      <c r="E256" s="11">
        <f>단가대비표!O155</f>
        <v>0</v>
      </c>
      <c r="F256" s="10">
        <f>TRUNC(E256*D256,2)</f>
        <v>0</v>
      </c>
      <c r="G256" s="11">
        <f>단가대비표!P155</f>
        <v>0</v>
      </c>
      <c r="H256" s="10">
        <f>TRUNC(G256*D256,2)</f>
        <v>0</v>
      </c>
      <c r="I256" s="11">
        <f>단가대비표!V155</f>
        <v>0</v>
      </c>
      <c r="J256" s="10">
        <f>TRUNC(I256*D256,2)</f>
        <v>0</v>
      </c>
      <c r="K256" s="11">
        <f t="shared" ref="K256:L258" si="61">TRUNC(E256+G256+I256,2)</f>
        <v>0</v>
      </c>
      <c r="L256" s="10">
        <f t="shared" si="61"/>
        <v>0</v>
      </c>
      <c r="M256" s="5" t="s">
        <v>1066</v>
      </c>
      <c r="N256" s="1" t="s">
        <v>236</v>
      </c>
      <c r="O256" s="1" t="s">
        <v>1067</v>
      </c>
      <c r="P256" s="1" t="s">
        <v>60</v>
      </c>
      <c r="Q256" s="1" t="s">
        <v>60</v>
      </c>
      <c r="R256" s="1" t="s">
        <v>61</v>
      </c>
      <c r="AV256" s="1" t="s">
        <v>51</v>
      </c>
      <c r="AW256" s="1" t="s">
        <v>1068</v>
      </c>
      <c r="AX256" s="1" t="s">
        <v>51</v>
      </c>
      <c r="AY256" s="1" t="s">
        <v>51</v>
      </c>
    </row>
    <row r="257" spans="1:51" ht="30" customHeight="1" x14ac:dyDescent="0.3">
      <c r="A257" s="5" t="s">
        <v>769</v>
      </c>
      <c r="B257" s="5" t="s">
        <v>751</v>
      </c>
      <c r="C257" s="5" t="s">
        <v>752</v>
      </c>
      <c r="D257" s="6">
        <f>공량산출근거서!K129</f>
        <v>2.7843</v>
      </c>
      <c r="E257" s="11">
        <f>단가대비표!O169</f>
        <v>0</v>
      </c>
      <c r="F257" s="10">
        <f>TRUNC(E257*D257,2)</f>
        <v>0</v>
      </c>
      <c r="G257" s="11">
        <f>단가대비표!P169</f>
        <v>273676</v>
      </c>
      <c r="H257" s="10">
        <f>TRUNC(G257*D257,2)</f>
        <v>761996.08</v>
      </c>
      <c r="I257" s="11">
        <f>단가대비표!V169</f>
        <v>0</v>
      </c>
      <c r="J257" s="10">
        <f>TRUNC(I257*D257,2)</f>
        <v>0</v>
      </c>
      <c r="K257" s="11">
        <f t="shared" si="61"/>
        <v>273676</v>
      </c>
      <c r="L257" s="10">
        <f t="shared" si="61"/>
        <v>761996.08</v>
      </c>
      <c r="M257" s="5" t="s">
        <v>51</v>
      </c>
      <c r="N257" s="1" t="s">
        <v>236</v>
      </c>
      <c r="O257" s="1" t="s">
        <v>770</v>
      </c>
      <c r="P257" s="1" t="s">
        <v>60</v>
      </c>
      <c r="Q257" s="1" t="s">
        <v>60</v>
      </c>
      <c r="R257" s="1" t="s">
        <v>61</v>
      </c>
      <c r="V257">
        <v>1</v>
      </c>
      <c r="AV257" s="1" t="s">
        <v>51</v>
      </c>
      <c r="AW257" s="1" t="s">
        <v>1069</v>
      </c>
      <c r="AX257" s="1" t="s">
        <v>51</v>
      </c>
      <c r="AY257" s="1" t="s">
        <v>51</v>
      </c>
    </row>
    <row r="258" spans="1:51" ht="30" customHeight="1" x14ac:dyDescent="0.3">
      <c r="A258" s="5" t="s">
        <v>758</v>
      </c>
      <c r="B258" s="5" t="s">
        <v>759</v>
      </c>
      <c r="C258" s="5" t="s">
        <v>631</v>
      </c>
      <c r="D258" s="6">
        <v>1</v>
      </c>
      <c r="E258" s="11">
        <f>TRUNC(SUMIF(V256:V258, RIGHTB(O258, 1), H256:H258)*U258, 2)</f>
        <v>22859.88</v>
      </c>
      <c r="F258" s="10">
        <f>TRUNC(E258*D258,2)</f>
        <v>22859.88</v>
      </c>
      <c r="G258" s="11">
        <v>0</v>
      </c>
      <c r="H258" s="10">
        <f>TRUNC(G258*D258,2)</f>
        <v>0</v>
      </c>
      <c r="I258" s="11">
        <v>0</v>
      </c>
      <c r="J258" s="10">
        <f>TRUNC(I258*D258,2)</f>
        <v>0</v>
      </c>
      <c r="K258" s="11">
        <f t="shared" si="61"/>
        <v>22859.88</v>
      </c>
      <c r="L258" s="10">
        <f t="shared" si="61"/>
        <v>22859.88</v>
      </c>
      <c r="M258" s="5" t="s">
        <v>51</v>
      </c>
      <c r="N258" s="1" t="s">
        <v>236</v>
      </c>
      <c r="O258" s="1" t="s">
        <v>657</v>
      </c>
      <c r="P258" s="1" t="s">
        <v>60</v>
      </c>
      <c r="Q258" s="1" t="s">
        <v>60</v>
      </c>
      <c r="R258" s="1" t="s">
        <v>60</v>
      </c>
      <c r="S258">
        <v>1</v>
      </c>
      <c r="T258">
        <v>0</v>
      </c>
      <c r="U258">
        <v>0.03</v>
      </c>
      <c r="AV258" s="1" t="s">
        <v>51</v>
      </c>
      <c r="AW258" s="1" t="s">
        <v>1070</v>
      </c>
      <c r="AX258" s="1" t="s">
        <v>51</v>
      </c>
      <c r="AY258" s="1" t="s">
        <v>51</v>
      </c>
    </row>
    <row r="259" spans="1:51" ht="30" customHeight="1" x14ac:dyDescent="0.3">
      <c r="A259" s="5" t="s">
        <v>762</v>
      </c>
      <c r="B259" s="5" t="s">
        <v>51</v>
      </c>
      <c r="C259" s="5" t="s">
        <v>51</v>
      </c>
      <c r="D259" s="6"/>
      <c r="E259" s="11"/>
      <c r="F259" s="10">
        <f>TRUNC(SUMIF(N256:N258, N255, F256:F258),0)</f>
        <v>22859</v>
      </c>
      <c r="G259" s="11"/>
      <c r="H259" s="10">
        <f>TRUNC(SUMIF(N256:N258, N255, H256:H258),0)</f>
        <v>761996</v>
      </c>
      <c r="I259" s="11"/>
      <c r="J259" s="10">
        <f>TRUNC(SUMIF(N256:N258, N255, J256:J258),0)</f>
        <v>0</v>
      </c>
      <c r="K259" s="11"/>
      <c r="L259" s="10">
        <f>F259+H259+J259</f>
        <v>784855</v>
      </c>
      <c r="M259" s="5" t="s">
        <v>51</v>
      </c>
      <c r="N259" s="1" t="s">
        <v>208</v>
      </c>
      <c r="O259" s="1" t="s">
        <v>208</v>
      </c>
      <c r="P259" s="1" t="s">
        <v>51</v>
      </c>
      <c r="Q259" s="1" t="s">
        <v>51</v>
      </c>
      <c r="R259" s="1" t="s">
        <v>51</v>
      </c>
      <c r="AV259" s="1" t="s">
        <v>51</v>
      </c>
      <c r="AW259" s="1" t="s">
        <v>51</v>
      </c>
      <c r="AX259" s="1" t="s">
        <v>51</v>
      </c>
      <c r="AY259" s="1" t="s">
        <v>51</v>
      </c>
    </row>
    <row r="260" spans="1:51" ht="30" customHeight="1" x14ac:dyDescent="0.3">
      <c r="A260" s="6"/>
      <c r="B260" s="6"/>
      <c r="C260" s="6"/>
      <c r="D260" s="6"/>
      <c r="E260" s="11"/>
      <c r="F260" s="10"/>
      <c r="G260" s="11"/>
      <c r="H260" s="10"/>
      <c r="I260" s="11"/>
      <c r="J260" s="10"/>
      <c r="K260" s="11"/>
      <c r="L260" s="10"/>
      <c r="M260" s="6"/>
    </row>
    <row r="261" spans="1:51" ht="30" customHeight="1" x14ac:dyDescent="0.3">
      <c r="A261" s="37" t="s">
        <v>1071</v>
      </c>
      <c r="B261" s="37"/>
      <c r="C261" s="37"/>
      <c r="D261" s="37"/>
      <c r="E261" s="38"/>
      <c r="F261" s="39"/>
      <c r="G261" s="38"/>
      <c r="H261" s="39"/>
      <c r="I261" s="38"/>
      <c r="J261" s="39"/>
      <c r="K261" s="38"/>
      <c r="L261" s="39"/>
      <c r="M261" s="37"/>
      <c r="N261" s="1" t="s">
        <v>240</v>
      </c>
    </row>
    <row r="262" spans="1:51" ht="30" customHeight="1" x14ac:dyDescent="0.3">
      <c r="A262" s="5" t="s">
        <v>1072</v>
      </c>
      <c r="B262" s="5" t="s">
        <v>51</v>
      </c>
      <c r="C262" s="5" t="s">
        <v>211</v>
      </c>
      <c r="D262" s="6">
        <v>1</v>
      </c>
      <c r="E262" s="11">
        <f>단가대비표!O158</f>
        <v>0</v>
      </c>
      <c r="F262" s="10">
        <f>TRUNC(E262*D262,2)</f>
        <v>0</v>
      </c>
      <c r="G262" s="11">
        <f>단가대비표!P158</f>
        <v>0</v>
      </c>
      <c r="H262" s="10">
        <f>TRUNC(G262*D262,2)</f>
        <v>0</v>
      </c>
      <c r="I262" s="11">
        <f>단가대비표!V158</f>
        <v>0</v>
      </c>
      <c r="J262" s="10">
        <f>TRUNC(I262*D262,2)</f>
        <v>0</v>
      </c>
      <c r="K262" s="11">
        <f t="shared" ref="K262:L264" si="62">TRUNC(E262+G262+I262,2)</f>
        <v>0</v>
      </c>
      <c r="L262" s="10">
        <f t="shared" si="62"/>
        <v>0</v>
      </c>
      <c r="M262" s="5" t="s">
        <v>1073</v>
      </c>
      <c r="N262" s="1" t="s">
        <v>240</v>
      </c>
      <c r="O262" s="1" t="s">
        <v>1074</v>
      </c>
      <c r="P262" s="1" t="s">
        <v>60</v>
      </c>
      <c r="Q262" s="1" t="s">
        <v>60</v>
      </c>
      <c r="R262" s="1" t="s">
        <v>61</v>
      </c>
      <c r="AV262" s="1" t="s">
        <v>51</v>
      </c>
      <c r="AW262" s="1" t="s">
        <v>1075</v>
      </c>
      <c r="AX262" s="1" t="s">
        <v>51</v>
      </c>
      <c r="AY262" s="1" t="s">
        <v>51</v>
      </c>
    </row>
    <row r="263" spans="1:51" ht="30" customHeight="1" x14ac:dyDescent="0.3">
      <c r="A263" s="5" t="s">
        <v>769</v>
      </c>
      <c r="B263" s="5" t="s">
        <v>751</v>
      </c>
      <c r="C263" s="5" t="s">
        <v>752</v>
      </c>
      <c r="D263" s="6">
        <f>공량산출근거서!K132</f>
        <v>3.6505000000000001</v>
      </c>
      <c r="E263" s="11">
        <f>단가대비표!O169</f>
        <v>0</v>
      </c>
      <c r="F263" s="10">
        <f>TRUNC(E263*D263,2)</f>
        <v>0</v>
      </c>
      <c r="G263" s="11">
        <f>단가대비표!P169</f>
        <v>273676</v>
      </c>
      <c r="H263" s="10">
        <f>TRUNC(G263*D263,2)</f>
        <v>999054.23</v>
      </c>
      <c r="I263" s="11">
        <f>단가대비표!V169</f>
        <v>0</v>
      </c>
      <c r="J263" s="10">
        <f>TRUNC(I263*D263,2)</f>
        <v>0</v>
      </c>
      <c r="K263" s="11">
        <f t="shared" si="62"/>
        <v>273676</v>
      </c>
      <c r="L263" s="10">
        <f t="shared" si="62"/>
        <v>999054.23</v>
      </c>
      <c r="M263" s="5" t="s">
        <v>51</v>
      </c>
      <c r="N263" s="1" t="s">
        <v>240</v>
      </c>
      <c r="O263" s="1" t="s">
        <v>770</v>
      </c>
      <c r="P263" s="1" t="s">
        <v>60</v>
      </c>
      <c r="Q263" s="1" t="s">
        <v>60</v>
      </c>
      <c r="R263" s="1" t="s">
        <v>61</v>
      </c>
      <c r="V263">
        <v>1</v>
      </c>
      <c r="AV263" s="1" t="s">
        <v>51</v>
      </c>
      <c r="AW263" s="1" t="s">
        <v>1076</v>
      </c>
      <c r="AX263" s="1" t="s">
        <v>51</v>
      </c>
      <c r="AY263" s="1" t="s">
        <v>51</v>
      </c>
    </row>
    <row r="264" spans="1:51" ht="30" customHeight="1" x14ac:dyDescent="0.3">
      <c r="A264" s="5" t="s">
        <v>758</v>
      </c>
      <c r="B264" s="5" t="s">
        <v>772</v>
      </c>
      <c r="C264" s="5" t="s">
        <v>631</v>
      </c>
      <c r="D264" s="6">
        <v>1</v>
      </c>
      <c r="E264" s="11">
        <f>TRUNC(SUMIF(V262:V264, RIGHTB(O264, 1), H262:H264)*U264, 2)</f>
        <v>29971.62</v>
      </c>
      <c r="F264" s="10">
        <f>TRUNC(E264*D264,2)</f>
        <v>29971.62</v>
      </c>
      <c r="G264" s="11">
        <v>0</v>
      </c>
      <c r="H264" s="10">
        <f>TRUNC(G264*D264,2)</f>
        <v>0</v>
      </c>
      <c r="I264" s="11">
        <v>0</v>
      </c>
      <c r="J264" s="10">
        <f>TRUNC(I264*D264,2)</f>
        <v>0</v>
      </c>
      <c r="K264" s="11">
        <f t="shared" si="62"/>
        <v>29971.62</v>
      </c>
      <c r="L264" s="10">
        <f t="shared" si="62"/>
        <v>29971.62</v>
      </c>
      <c r="M264" s="5" t="s">
        <v>51</v>
      </c>
      <c r="N264" s="1" t="s">
        <v>240</v>
      </c>
      <c r="O264" s="1" t="s">
        <v>657</v>
      </c>
      <c r="P264" s="1" t="s">
        <v>60</v>
      </c>
      <c r="Q264" s="1" t="s">
        <v>60</v>
      </c>
      <c r="R264" s="1" t="s">
        <v>60</v>
      </c>
      <c r="S264">
        <v>1</v>
      </c>
      <c r="T264">
        <v>0</v>
      </c>
      <c r="U264">
        <v>0.03</v>
      </c>
      <c r="AV264" s="1" t="s">
        <v>51</v>
      </c>
      <c r="AW264" s="1" t="s">
        <v>1077</v>
      </c>
      <c r="AX264" s="1" t="s">
        <v>51</v>
      </c>
      <c r="AY264" s="1" t="s">
        <v>51</v>
      </c>
    </row>
    <row r="265" spans="1:51" ht="30" customHeight="1" x14ac:dyDescent="0.3">
      <c r="A265" s="5" t="s">
        <v>762</v>
      </c>
      <c r="B265" s="5" t="s">
        <v>51</v>
      </c>
      <c r="C265" s="5" t="s">
        <v>51</v>
      </c>
      <c r="D265" s="6"/>
      <c r="E265" s="11"/>
      <c r="F265" s="10">
        <f>TRUNC(SUMIF(N262:N264, N261, F262:F264),0)</f>
        <v>29971</v>
      </c>
      <c r="G265" s="11"/>
      <c r="H265" s="10">
        <f>TRUNC(SUMIF(N262:N264, N261, H262:H264),0)</f>
        <v>999054</v>
      </c>
      <c r="I265" s="11"/>
      <c r="J265" s="10">
        <f>TRUNC(SUMIF(N262:N264, N261, J262:J264),0)</f>
        <v>0</v>
      </c>
      <c r="K265" s="11"/>
      <c r="L265" s="10">
        <f>F265+H265+J265</f>
        <v>1029025</v>
      </c>
      <c r="M265" s="5" t="s">
        <v>51</v>
      </c>
      <c r="N265" s="1" t="s">
        <v>208</v>
      </c>
      <c r="O265" s="1" t="s">
        <v>208</v>
      </c>
      <c r="P265" s="1" t="s">
        <v>51</v>
      </c>
      <c r="Q265" s="1" t="s">
        <v>51</v>
      </c>
      <c r="R265" s="1" t="s">
        <v>51</v>
      </c>
      <c r="AV265" s="1" t="s">
        <v>51</v>
      </c>
      <c r="AW265" s="1" t="s">
        <v>51</v>
      </c>
      <c r="AX265" s="1" t="s">
        <v>51</v>
      </c>
      <c r="AY265" s="1" t="s">
        <v>51</v>
      </c>
    </row>
    <row r="266" spans="1:51" ht="30" customHeight="1" x14ac:dyDescent="0.3">
      <c r="A266" s="6"/>
      <c r="B266" s="6"/>
      <c r="C266" s="6"/>
      <c r="D266" s="6"/>
      <c r="E266" s="11"/>
      <c r="F266" s="10"/>
      <c r="G266" s="11"/>
      <c r="H266" s="10"/>
      <c r="I266" s="11"/>
      <c r="J266" s="10"/>
      <c r="K266" s="11"/>
      <c r="L266" s="10"/>
      <c r="M266" s="6"/>
    </row>
    <row r="267" spans="1:51" ht="30" customHeight="1" x14ac:dyDescent="0.3">
      <c r="A267" s="37" t="s">
        <v>1078</v>
      </c>
      <c r="B267" s="37"/>
      <c r="C267" s="37"/>
      <c r="D267" s="37"/>
      <c r="E267" s="38"/>
      <c r="F267" s="39"/>
      <c r="G267" s="38"/>
      <c r="H267" s="39"/>
      <c r="I267" s="38"/>
      <c r="J267" s="39"/>
      <c r="K267" s="38"/>
      <c r="L267" s="39"/>
      <c r="M267" s="37"/>
      <c r="N267" s="1" t="s">
        <v>245</v>
      </c>
    </row>
    <row r="268" spans="1:51" ht="30" customHeight="1" x14ac:dyDescent="0.3">
      <c r="A268" s="5" t="s">
        <v>242</v>
      </c>
      <c r="B268" s="5" t="s">
        <v>1079</v>
      </c>
      <c r="C268" s="5" t="s">
        <v>65</v>
      </c>
      <c r="D268" s="6">
        <v>1</v>
      </c>
      <c r="E268" s="11">
        <f>단가대비표!O126</f>
        <v>8916</v>
      </c>
      <c r="F268" s="10">
        <f t="shared" ref="F268:F273" si="63">TRUNC(E268*D268,2)</f>
        <v>8916</v>
      </c>
      <c r="G268" s="11">
        <f>단가대비표!P126</f>
        <v>0</v>
      </c>
      <c r="H268" s="10">
        <f t="shared" ref="H268:H273" si="64">TRUNC(G268*D268,2)</f>
        <v>0</v>
      </c>
      <c r="I268" s="11">
        <f>단가대비표!V126</f>
        <v>0</v>
      </c>
      <c r="J268" s="10">
        <f t="shared" ref="J268:J273" si="65">TRUNC(I268*D268,2)</f>
        <v>0</v>
      </c>
      <c r="K268" s="11">
        <f t="shared" ref="K268:L273" si="66">TRUNC(E268+G268+I268,2)</f>
        <v>8916</v>
      </c>
      <c r="L268" s="10">
        <f t="shared" si="66"/>
        <v>8916</v>
      </c>
      <c r="M268" s="5" t="s">
        <v>51</v>
      </c>
      <c r="N268" s="1" t="s">
        <v>245</v>
      </c>
      <c r="O268" s="1" t="s">
        <v>1080</v>
      </c>
      <c r="P268" s="1" t="s">
        <v>60</v>
      </c>
      <c r="Q268" s="1" t="s">
        <v>60</v>
      </c>
      <c r="R268" s="1" t="s">
        <v>61</v>
      </c>
      <c r="V268">
        <v>1</v>
      </c>
      <c r="W268">
        <v>2</v>
      </c>
      <c r="AV268" s="1" t="s">
        <v>51</v>
      </c>
      <c r="AW268" s="1" t="s">
        <v>1081</v>
      </c>
      <c r="AX268" s="1" t="s">
        <v>51</v>
      </c>
      <c r="AY268" s="1" t="s">
        <v>51</v>
      </c>
    </row>
    <row r="269" spans="1:51" ht="30" customHeight="1" x14ac:dyDescent="0.3">
      <c r="A269" s="5" t="s">
        <v>242</v>
      </c>
      <c r="B269" s="5" t="s">
        <v>1079</v>
      </c>
      <c r="C269" s="5" t="s">
        <v>65</v>
      </c>
      <c r="D269" s="6">
        <v>0.1</v>
      </c>
      <c r="E269" s="11">
        <f>단가대비표!O126</f>
        <v>8916</v>
      </c>
      <c r="F269" s="10">
        <f t="shared" si="63"/>
        <v>891.6</v>
      </c>
      <c r="G269" s="11">
        <f>단가대비표!P126</f>
        <v>0</v>
      </c>
      <c r="H269" s="10">
        <f t="shared" si="64"/>
        <v>0</v>
      </c>
      <c r="I269" s="11">
        <f>단가대비표!V126</f>
        <v>0</v>
      </c>
      <c r="J269" s="10">
        <f t="shared" si="65"/>
        <v>0</v>
      </c>
      <c r="K269" s="11">
        <f t="shared" si="66"/>
        <v>8916</v>
      </c>
      <c r="L269" s="10">
        <f t="shared" si="66"/>
        <v>891.6</v>
      </c>
      <c r="M269" s="5" t="s">
        <v>51</v>
      </c>
      <c r="N269" s="1" t="s">
        <v>245</v>
      </c>
      <c r="O269" s="1" t="s">
        <v>1080</v>
      </c>
      <c r="P269" s="1" t="s">
        <v>60</v>
      </c>
      <c r="Q269" s="1" t="s">
        <v>60</v>
      </c>
      <c r="R269" s="1" t="s">
        <v>61</v>
      </c>
      <c r="AV269" s="1" t="s">
        <v>51</v>
      </c>
      <c r="AW269" s="1" t="s">
        <v>1081</v>
      </c>
      <c r="AX269" s="1" t="s">
        <v>51</v>
      </c>
      <c r="AY269" s="1" t="s">
        <v>51</v>
      </c>
    </row>
    <row r="270" spans="1:51" ht="30" customHeight="1" x14ac:dyDescent="0.3">
      <c r="A270" s="5" t="s">
        <v>743</v>
      </c>
      <c r="B270" s="5" t="s">
        <v>744</v>
      </c>
      <c r="C270" s="5" t="s">
        <v>631</v>
      </c>
      <c r="D270" s="6">
        <v>1</v>
      </c>
      <c r="E270" s="11">
        <f>TRUNC(SUMIF(V268:V273, RIGHTB(O270, 1), F268:F273)*U270, 2)</f>
        <v>1337.4</v>
      </c>
      <c r="F270" s="10">
        <f t="shared" si="63"/>
        <v>1337.4</v>
      </c>
      <c r="G270" s="11">
        <v>0</v>
      </c>
      <c r="H270" s="10">
        <f t="shared" si="64"/>
        <v>0</v>
      </c>
      <c r="I270" s="11">
        <v>0</v>
      </c>
      <c r="J270" s="10">
        <f t="shared" si="65"/>
        <v>0</v>
      </c>
      <c r="K270" s="11">
        <f t="shared" si="66"/>
        <v>1337.4</v>
      </c>
      <c r="L270" s="10">
        <f t="shared" si="66"/>
        <v>1337.4</v>
      </c>
      <c r="M270" s="5" t="s">
        <v>51</v>
      </c>
      <c r="N270" s="1" t="s">
        <v>245</v>
      </c>
      <c r="O270" s="1" t="s">
        <v>657</v>
      </c>
      <c r="P270" s="1" t="s">
        <v>60</v>
      </c>
      <c r="Q270" s="1" t="s">
        <v>60</v>
      </c>
      <c r="R270" s="1" t="s">
        <v>60</v>
      </c>
      <c r="S270">
        <v>0</v>
      </c>
      <c r="T270">
        <v>0</v>
      </c>
      <c r="U270">
        <v>0.15</v>
      </c>
      <c r="AV270" s="1" t="s">
        <v>51</v>
      </c>
      <c r="AW270" s="1" t="s">
        <v>1082</v>
      </c>
      <c r="AX270" s="1" t="s">
        <v>51</v>
      </c>
      <c r="AY270" s="1" t="s">
        <v>51</v>
      </c>
    </row>
    <row r="271" spans="1:51" ht="30" customHeight="1" x14ac:dyDescent="0.3">
      <c r="A271" s="5" t="s">
        <v>746</v>
      </c>
      <c r="B271" s="5" t="s">
        <v>747</v>
      </c>
      <c r="C271" s="5" t="s">
        <v>631</v>
      </c>
      <c r="D271" s="6">
        <v>1</v>
      </c>
      <c r="E271" s="11">
        <f>TRUNC(SUMIF(W268:W273, RIGHTB(O271, 1), F268:F273)*U271, 2)</f>
        <v>178.32</v>
      </c>
      <c r="F271" s="10">
        <f t="shared" si="63"/>
        <v>178.32</v>
      </c>
      <c r="G271" s="11">
        <v>0</v>
      </c>
      <c r="H271" s="10">
        <f t="shared" si="64"/>
        <v>0</v>
      </c>
      <c r="I271" s="11">
        <v>0</v>
      </c>
      <c r="J271" s="10">
        <f t="shared" si="65"/>
        <v>0</v>
      </c>
      <c r="K271" s="11">
        <f t="shared" si="66"/>
        <v>178.32</v>
      </c>
      <c r="L271" s="10">
        <f t="shared" si="66"/>
        <v>178.32</v>
      </c>
      <c r="M271" s="5" t="s">
        <v>51</v>
      </c>
      <c r="N271" s="1" t="s">
        <v>245</v>
      </c>
      <c r="O271" s="1" t="s">
        <v>748</v>
      </c>
      <c r="P271" s="1" t="s">
        <v>60</v>
      </c>
      <c r="Q271" s="1" t="s">
        <v>60</v>
      </c>
      <c r="R271" s="1" t="s">
        <v>60</v>
      </c>
      <c r="S271">
        <v>0</v>
      </c>
      <c r="T271">
        <v>0</v>
      </c>
      <c r="U271">
        <v>0.02</v>
      </c>
      <c r="AV271" s="1" t="s">
        <v>51</v>
      </c>
      <c r="AW271" s="1" t="s">
        <v>1083</v>
      </c>
      <c r="AX271" s="1" t="s">
        <v>51</v>
      </c>
      <c r="AY271" s="1" t="s">
        <v>51</v>
      </c>
    </row>
    <row r="272" spans="1:51" ht="30" customHeight="1" x14ac:dyDescent="0.3">
      <c r="A272" s="5" t="s">
        <v>769</v>
      </c>
      <c r="B272" s="5" t="s">
        <v>751</v>
      </c>
      <c r="C272" s="5" t="s">
        <v>752</v>
      </c>
      <c r="D272" s="6">
        <f>공량산출근거서!K136</f>
        <v>0.30599999999999999</v>
      </c>
      <c r="E272" s="11">
        <f>단가대비표!O169</f>
        <v>0</v>
      </c>
      <c r="F272" s="10">
        <f t="shared" si="63"/>
        <v>0</v>
      </c>
      <c r="G272" s="11">
        <f>단가대비표!P169</f>
        <v>273676</v>
      </c>
      <c r="H272" s="10">
        <f t="shared" si="64"/>
        <v>83744.850000000006</v>
      </c>
      <c r="I272" s="11">
        <f>단가대비표!V169</f>
        <v>0</v>
      </c>
      <c r="J272" s="10">
        <f t="shared" si="65"/>
        <v>0</v>
      </c>
      <c r="K272" s="11">
        <f t="shared" si="66"/>
        <v>273676</v>
      </c>
      <c r="L272" s="10">
        <f t="shared" si="66"/>
        <v>83744.850000000006</v>
      </c>
      <c r="M272" s="5" t="s">
        <v>51</v>
      </c>
      <c r="N272" s="1" t="s">
        <v>245</v>
      </c>
      <c r="O272" s="1" t="s">
        <v>770</v>
      </c>
      <c r="P272" s="1" t="s">
        <v>60</v>
      </c>
      <c r="Q272" s="1" t="s">
        <v>60</v>
      </c>
      <c r="R272" s="1" t="s">
        <v>61</v>
      </c>
      <c r="X272">
        <v>3</v>
      </c>
      <c r="AV272" s="1" t="s">
        <v>51</v>
      </c>
      <c r="AW272" s="1" t="s">
        <v>1084</v>
      </c>
      <c r="AX272" s="1" t="s">
        <v>51</v>
      </c>
      <c r="AY272" s="1" t="s">
        <v>51</v>
      </c>
    </row>
    <row r="273" spans="1:51" ht="30" customHeight="1" x14ac:dyDescent="0.3">
      <c r="A273" s="5" t="s">
        <v>758</v>
      </c>
      <c r="B273" s="5" t="s">
        <v>759</v>
      </c>
      <c r="C273" s="5" t="s">
        <v>631</v>
      </c>
      <c r="D273" s="6">
        <v>1</v>
      </c>
      <c r="E273" s="11">
        <f>TRUNC(SUMIF(X268:X273, RIGHTB(O273, 1), H268:H273)*U273, 2)</f>
        <v>2512.34</v>
      </c>
      <c r="F273" s="10">
        <f t="shared" si="63"/>
        <v>2512.34</v>
      </c>
      <c r="G273" s="11">
        <v>0</v>
      </c>
      <c r="H273" s="10">
        <f t="shared" si="64"/>
        <v>0</v>
      </c>
      <c r="I273" s="11">
        <v>0</v>
      </c>
      <c r="J273" s="10">
        <f t="shared" si="65"/>
        <v>0</v>
      </c>
      <c r="K273" s="11">
        <f t="shared" si="66"/>
        <v>2512.34</v>
      </c>
      <c r="L273" s="10">
        <f t="shared" si="66"/>
        <v>2512.34</v>
      </c>
      <c r="M273" s="5" t="s">
        <v>51</v>
      </c>
      <c r="N273" s="1" t="s">
        <v>245</v>
      </c>
      <c r="O273" s="1" t="s">
        <v>760</v>
      </c>
      <c r="P273" s="1" t="s">
        <v>60</v>
      </c>
      <c r="Q273" s="1" t="s">
        <v>60</v>
      </c>
      <c r="R273" s="1" t="s">
        <v>60</v>
      </c>
      <c r="S273">
        <v>1</v>
      </c>
      <c r="T273">
        <v>0</v>
      </c>
      <c r="U273">
        <v>0.03</v>
      </c>
      <c r="AV273" s="1" t="s">
        <v>51</v>
      </c>
      <c r="AW273" s="1" t="s">
        <v>1085</v>
      </c>
      <c r="AX273" s="1" t="s">
        <v>51</v>
      </c>
      <c r="AY273" s="1" t="s">
        <v>51</v>
      </c>
    </row>
    <row r="274" spans="1:51" ht="30" customHeight="1" x14ac:dyDescent="0.3">
      <c r="A274" s="5" t="s">
        <v>762</v>
      </c>
      <c r="B274" s="5" t="s">
        <v>51</v>
      </c>
      <c r="C274" s="5" t="s">
        <v>51</v>
      </c>
      <c r="D274" s="6"/>
      <c r="E274" s="11"/>
      <c r="F274" s="10">
        <f>TRUNC(SUMIF(N268:N273, N267, F268:F273),0)</f>
        <v>13835</v>
      </c>
      <c r="G274" s="11"/>
      <c r="H274" s="10">
        <f>TRUNC(SUMIF(N268:N273, N267, H268:H273),0)</f>
        <v>83744</v>
      </c>
      <c r="I274" s="11"/>
      <c r="J274" s="10">
        <f>TRUNC(SUMIF(N268:N273, N267, J268:J273),0)</f>
        <v>0</v>
      </c>
      <c r="K274" s="11"/>
      <c r="L274" s="10">
        <f>F274+H274+J274</f>
        <v>97579</v>
      </c>
      <c r="M274" s="5" t="s">
        <v>51</v>
      </c>
      <c r="N274" s="1" t="s">
        <v>208</v>
      </c>
      <c r="O274" s="1" t="s">
        <v>208</v>
      </c>
      <c r="P274" s="1" t="s">
        <v>51</v>
      </c>
      <c r="Q274" s="1" t="s">
        <v>51</v>
      </c>
      <c r="R274" s="1" t="s">
        <v>51</v>
      </c>
      <c r="AV274" s="1" t="s">
        <v>51</v>
      </c>
      <c r="AW274" s="1" t="s">
        <v>51</v>
      </c>
      <c r="AX274" s="1" t="s">
        <v>51</v>
      </c>
      <c r="AY274" s="1" t="s">
        <v>51</v>
      </c>
    </row>
    <row r="275" spans="1:51" ht="30" customHeight="1" x14ac:dyDescent="0.3">
      <c r="A275" s="6"/>
      <c r="B275" s="6"/>
      <c r="C275" s="6"/>
      <c r="D275" s="6"/>
      <c r="E275" s="11"/>
      <c r="F275" s="10"/>
      <c r="G275" s="11"/>
      <c r="H275" s="10"/>
      <c r="I275" s="11"/>
      <c r="J275" s="10"/>
      <c r="K275" s="11"/>
      <c r="L275" s="10"/>
      <c r="M275" s="6"/>
    </row>
    <row r="276" spans="1:51" ht="30" customHeight="1" x14ac:dyDescent="0.3">
      <c r="A276" s="37" t="s">
        <v>1086</v>
      </c>
      <c r="B276" s="37"/>
      <c r="C276" s="37"/>
      <c r="D276" s="37"/>
      <c r="E276" s="38"/>
      <c r="F276" s="39"/>
      <c r="G276" s="38"/>
      <c r="H276" s="39"/>
      <c r="I276" s="38"/>
      <c r="J276" s="39"/>
      <c r="K276" s="38"/>
      <c r="L276" s="39"/>
      <c r="M276" s="37"/>
      <c r="N276" s="1" t="s">
        <v>249</v>
      </c>
    </row>
    <row r="277" spans="1:51" ht="30" customHeight="1" x14ac:dyDescent="0.3">
      <c r="A277" s="5" t="s">
        <v>242</v>
      </c>
      <c r="B277" s="5" t="s">
        <v>1087</v>
      </c>
      <c r="C277" s="5" t="s">
        <v>65</v>
      </c>
      <c r="D277" s="6">
        <v>1</v>
      </c>
      <c r="E277" s="11">
        <f>단가대비표!O127</f>
        <v>10471</v>
      </c>
      <c r="F277" s="10">
        <f t="shared" ref="F277:F282" si="67">TRUNC(E277*D277,2)</f>
        <v>10471</v>
      </c>
      <c r="G277" s="11">
        <f>단가대비표!P127</f>
        <v>0</v>
      </c>
      <c r="H277" s="10">
        <f t="shared" ref="H277:H282" si="68">TRUNC(G277*D277,2)</f>
        <v>0</v>
      </c>
      <c r="I277" s="11">
        <f>단가대비표!V127</f>
        <v>0</v>
      </c>
      <c r="J277" s="10">
        <f t="shared" ref="J277:J282" si="69">TRUNC(I277*D277,2)</f>
        <v>0</v>
      </c>
      <c r="K277" s="11">
        <f t="shared" ref="K277:L282" si="70">TRUNC(E277+G277+I277,2)</f>
        <v>10471</v>
      </c>
      <c r="L277" s="10">
        <f t="shared" si="70"/>
        <v>10471</v>
      </c>
      <c r="M277" s="5" t="s">
        <v>51</v>
      </c>
      <c r="N277" s="1" t="s">
        <v>249</v>
      </c>
      <c r="O277" s="1" t="s">
        <v>1088</v>
      </c>
      <c r="P277" s="1" t="s">
        <v>60</v>
      </c>
      <c r="Q277" s="1" t="s">
        <v>60</v>
      </c>
      <c r="R277" s="1" t="s">
        <v>61</v>
      </c>
      <c r="V277">
        <v>1</v>
      </c>
      <c r="W277">
        <v>2</v>
      </c>
      <c r="AV277" s="1" t="s">
        <v>51</v>
      </c>
      <c r="AW277" s="1" t="s">
        <v>1089</v>
      </c>
      <c r="AX277" s="1" t="s">
        <v>51</v>
      </c>
      <c r="AY277" s="1" t="s">
        <v>51</v>
      </c>
    </row>
    <row r="278" spans="1:51" ht="30" customHeight="1" x14ac:dyDescent="0.3">
      <c r="A278" s="5" t="s">
        <v>242</v>
      </c>
      <c r="B278" s="5" t="s">
        <v>1087</v>
      </c>
      <c r="C278" s="5" t="s">
        <v>65</v>
      </c>
      <c r="D278" s="6">
        <v>0.1</v>
      </c>
      <c r="E278" s="11">
        <f>단가대비표!O127</f>
        <v>10471</v>
      </c>
      <c r="F278" s="10">
        <f t="shared" si="67"/>
        <v>1047.0999999999999</v>
      </c>
      <c r="G278" s="11">
        <f>단가대비표!P127</f>
        <v>0</v>
      </c>
      <c r="H278" s="10">
        <f t="shared" si="68"/>
        <v>0</v>
      </c>
      <c r="I278" s="11">
        <f>단가대비표!V127</f>
        <v>0</v>
      </c>
      <c r="J278" s="10">
        <f t="shared" si="69"/>
        <v>0</v>
      </c>
      <c r="K278" s="11">
        <f t="shared" si="70"/>
        <v>10471</v>
      </c>
      <c r="L278" s="10">
        <f t="shared" si="70"/>
        <v>1047.0999999999999</v>
      </c>
      <c r="M278" s="5" t="s">
        <v>51</v>
      </c>
      <c r="N278" s="1" t="s">
        <v>249</v>
      </c>
      <c r="O278" s="1" t="s">
        <v>1088</v>
      </c>
      <c r="P278" s="1" t="s">
        <v>60</v>
      </c>
      <c r="Q278" s="1" t="s">
        <v>60</v>
      </c>
      <c r="R278" s="1" t="s">
        <v>61</v>
      </c>
      <c r="AV278" s="1" t="s">
        <v>51</v>
      </c>
      <c r="AW278" s="1" t="s">
        <v>1089</v>
      </c>
      <c r="AX278" s="1" t="s">
        <v>51</v>
      </c>
      <c r="AY278" s="1" t="s">
        <v>51</v>
      </c>
    </row>
    <row r="279" spans="1:51" ht="30" customHeight="1" x14ac:dyDescent="0.3">
      <c r="A279" s="5" t="s">
        <v>743</v>
      </c>
      <c r="B279" s="5" t="s">
        <v>744</v>
      </c>
      <c r="C279" s="5" t="s">
        <v>631</v>
      </c>
      <c r="D279" s="6">
        <v>1</v>
      </c>
      <c r="E279" s="11">
        <f>TRUNC(SUMIF(V277:V282, RIGHTB(O279, 1), F277:F282)*U279, 2)</f>
        <v>1570.65</v>
      </c>
      <c r="F279" s="10">
        <f t="shared" si="67"/>
        <v>1570.65</v>
      </c>
      <c r="G279" s="11">
        <v>0</v>
      </c>
      <c r="H279" s="10">
        <f t="shared" si="68"/>
        <v>0</v>
      </c>
      <c r="I279" s="11">
        <v>0</v>
      </c>
      <c r="J279" s="10">
        <f t="shared" si="69"/>
        <v>0</v>
      </c>
      <c r="K279" s="11">
        <f t="shared" si="70"/>
        <v>1570.65</v>
      </c>
      <c r="L279" s="10">
        <f t="shared" si="70"/>
        <v>1570.65</v>
      </c>
      <c r="M279" s="5" t="s">
        <v>51</v>
      </c>
      <c r="N279" s="1" t="s">
        <v>249</v>
      </c>
      <c r="O279" s="1" t="s">
        <v>657</v>
      </c>
      <c r="P279" s="1" t="s">
        <v>60</v>
      </c>
      <c r="Q279" s="1" t="s">
        <v>60</v>
      </c>
      <c r="R279" s="1" t="s">
        <v>60</v>
      </c>
      <c r="S279">
        <v>0</v>
      </c>
      <c r="T279">
        <v>0</v>
      </c>
      <c r="U279">
        <v>0.15</v>
      </c>
      <c r="AV279" s="1" t="s">
        <v>51</v>
      </c>
      <c r="AW279" s="1" t="s">
        <v>1090</v>
      </c>
      <c r="AX279" s="1" t="s">
        <v>51</v>
      </c>
      <c r="AY279" s="1" t="s">
        <v>51</v>
      </c>
    </row>
    <row r="280" spans="1:51" ht="30" customHeight="1" x14ac:dyDescent="0.3">
      <c r="A280" s="5" t="s">
        <v>746</v>
      </c>
      <c r="B280" s="5" t="s">
        <v>747</v>
      </c>
      <c r="C280" s="5" t="s">
        <v>631</v>
      </c>
      <c r="D280" s="6">
        <v>1</v>
      </c>
      <c r="E280" s="11">
        <f>TRUNC(SUMIF(W277:W282, RIGHTB(O280, 1), F277:F282)*U280, 2)</f>
        <v>209.42</v>
      </c>
      <c r="F280" s="10">
        <f t="shared" si="67"/>
        <v>209.42</v>
      </c>
      <c r="G280" s="11">
        <v>0</v>
      </c>
      <c r="H280" s="10">
        <f t="shared" si="68"/>
        <v>0</v>
      </c>
      <c r="I280" s="11">
        <v>0</v>
      </c>
      <c r="J280" s="10">
        <f t="shared" si="69"/>
        <v>0</v>
      </c>
      <c r="K280" s="11">
        <f t="shared" si="70"/>
        <v>209.42</v>
      </c>
      <c r="L280" s="10">
        <f t="shared" si="70"/>
        <v>209.42</v>
      </c>
      <c r="M280" s="5" t="s">
        <v>51</v>
      </c>
      <c r="N280" s="1" t="s">
        <v>249</v>
      </c>
      <c r="O280" s="1" t="s">
        <v>748</v>
      </c>
      <c r="P280" s="1" t="s">
        <v>60</v>
      </c>
      <c r="Q280" s="1" t="s">
        <v>60</v>
      </c>
      <c r="R280" s="1" t="s">
        <v>60</v>
      </c>
      <c r="S280">
        <v>0</v>
      </c>
      <c r="T280">
        <v>0</v>
      </c>
      <c r="U280">
        <v>0.02</v>
      </c>
      <c r="AV280" s="1" t="s">
        <v>51</v>
      </c>
      <c r="AW280" s="1" t="s">
        <v>1091</v>
      </c>
      <c r="AX280" s="1" t="s">
        <v>51</v>
      </c>
      <c r="AY280" s="1" t="s">
        <v>51</v>
      </c>
    </row>
    <row r="281" spans="1:51" ht="30" customHeight="1" x14ac:dyDescent="0.3">
      <c r="A281" s="5" t="s">
        <v>769</v>
      </c>
      <c r="B281" s="5" t="s">
        <v>751</v>
      </c>
      <c r="C281" s="5" t="s">
        <v>752</v>
      </c>
      <c r="D281" s="6">
        <f>공량산출근거서!K140</f>
        <v>0.39600000000000002</v>
      </c>
      <c r="E281" s="11">
        <f>단가대비표!O169</f>
        <v>0</v>
      </c>
      <c r="F281" s="10">
        <f t="shared" si="67"/>
        <v>0</v>
      </c>
      <c r="G281" s="11">
        <f>단가대비표!P169</f>
        <v>273676</v>
      </c>
      <c r="H281" s="10">
        <f t="shared" si="68"/>
        <v>108375.69</v>
      </c>
      <c r="I281" s="11">
        <f>단가대비표!V169</f>
        <v>0</v>
      </c>
      <c r="J281" s="10">
        <f t="shared" si="69"/>
        <v>0</v>
      </c>
      <c r="K281" s="11">
        <f t="shared" si="70"/>
        <v>273676</v>
      </c>
      <c r="L281" s="10">
        <f t="shared" si="70"/>
        <v>108375.69</v>
      </c>
      <c r="M281" s="5" t="s">
        <v>51</v>
      </c>
      <c r="N281" s="1" t="s">
        <v>249</v>
      </c>
      <c r="O281" s="1" t="s">
        <v>770</v>
      </c>
      <c r="P281" s="1" t="s">
        <v>60</v>
      </c>
      <c r="Q281" s="1" t="s">
        <v>60</v>
      </c>
      <c r="R281" s="1" t="s">
        <v>61</v>
      </c>
      <c r="X281">
        <v>3</v>
      </c>
      <c r="AV281" s="1" t="s">
        <v>51</v>
      </c>
      <c r="AW281" s="1" t="s">
        <v>1092</v>
      </c>
      <c r="AX281" s="1" t="s">
        <v>51</v>
      </c>
      <c r="AY281" s="1" t="s">
        <v>51</v>
      </c>
    </row>
    <row r="282" spans="1:51" ht="30" customHeight="1" x14ac:dyDescent="0.3">
      <c r="A282" s="5" t="s">
        <v>758</v>
      </c>
      <c r="B282" s="5" t="s">
        <v>759</v>
      </c>
      <c r="C282" s="5" t="s">
        <v>631</v>
      </c>
      <c r="D282" s="6">
        <v>1</v>
      </c>
      <c r="E282" s="11">
        <f>TRUNC(SUMIF(X277:X282, RIGHTB(O282, 1), H277:H282)*U282, 2)</f>
        <v>3251.27</v>
      </c>
      <c r="F282" s="10">
        <f t="shared" si="67"/>
        <v>3251.27</v>
      </c>
      <c r="G282" s="11">
        <v>0</v>
      </c>
      <c r="H282" s="10">
        <f t="shared" si="68"/>
        <v>0</v>
      </c>
      <c r="I282" s="11">
        <v>0</v>
      </c>
      <c r="J282" s="10">
        <f t="shared" si="69"/>
        <v>0</v>
      </c>
      <c r="K282" s="11">
        <f t="shared" si="70"/>
        <v>3251.27</v>
      </c>
      <c r="L282" s="10">
        <f t="shared" si="70"/>
        <v>3251.27</v>
      </c>
      <c r="M282" s="5" t="s">
        <v>51</v>
      </c>
      <c r="N282" s="1" t="s">
        <v>249</v>
      </c>
      <c r="O282" s="1" t="s">
        <v>760</v>
      </c>
      <c r="P282" s="1" t="s">
        <v>60</v>
      </c>
      <c r="Q282" s="1" t="s">
        <v>60</v>
      </c>
      <c r="R282" s="1" t="s">
        <v>60</v>
      </c>
      <c r="S282">
        <v>1</v>
      </c>
      <c r="T282">
        <v>0</v>
      </c>
      <c r="U282">
        <v>0.03</v>
      </c>
      <c r="AV282" s="1" t="s">
        <v>51</v>
      </c>
      <c r="AW282" s="1" t="s">
        <v>1093</v>
      </c>
      <c r="AX282" s="1" t="s">
        <v>51</v>
      </c>
      <c r="AY282" s="1" t="s">
        <v>51</v>
      </c>
    </row>
    <row r="283" spans="1:51" ht="30" customHeight="1" x14ac:dyDescent="0.3">
      <c r="A283" s="5" t="s">
        <v>762</v>
      </c>
      <c r="B283" s="5" t="s">
        <v>51</v>
      </c>
      <c r="C283" s="5" t="s">
        <v>51</v>
      </c>
      <c r="D283" s="6"/>
      <c r="E283" s="11"/>
      <c r="F283" s="10">
        <f>TRUNC(SUMIF(N277:N282, N276, F277:F282),0)</f>
        <v>16549</v>
      </c>
      <c r="G283" s="11"/>
      <c r="H283" s="10">
        <f>TRUNC(SUMIF(N277:N282, N276, H277:H282),0)</f>
        <v>108375</v>
      </c>
      <c r="I283" s="11"/>
      <c r="J283" s="10">
        <f>TRUNC(SUMIF(N277:N282, N276, J277:J282),0)</f>
        <v>0</v>
      </c>
      <c r="K283" s="11"/>
      <c r="L283" s="10">
        <f>F283+H283+J283</f>
        <v>124924</v>
      </c>
      <c r="M283" s="5" t="s">
        <v>51</v>
      </c>
      <c r="N283" s="1" t="s">
        <v>208</v>
      </c>
      <c r="O283" s="1" t="s">
        <v>208</v>
      </c>
      <c r="P283" s="1" t="s">
        <v>51</v>
      </c>
      <c r="Q283" s="1" t="s">
        <v>51</v>
      </c>
      <c r="R283" s="1" t="s">
        <v>51</v>
      </c>
      <c r="AV283" s="1" t="s">
        <v>51</v>
      </c>
      <c r="AW283" s="1" t="s">
        <v>51</v>
      </c>
      <c r="AX283" s="1" t="s">
        <v>51</v>
      </c>
      <c r="AY283" s="1" t="s">
        <v>51</v>
      </c>
    </row>
    <row r="284" spans="1:51" ht="30" customHeight="1" x14ac:dyDescent="0.3">
      <c r="A284" s="6"/>
      <c r="B284" s="6"/>
      <c r="C284" s="6"/>
      <c r="D284" s="6"/>
      <c r="E284" s="11"/>
      <c r="F284" s="10"/>
      <c r="G284" s="11"/>
      <c r="H284" s="10"/>
      <c r="I284" s="11"/>
      <c r="J284" s="10"/>
      <c r="K284" s="11"/>
      <c r="L284" s="10"/>
      <c r="M284" s="6"/>
    </row>
    <row r="285" spans="1:51" ht="30" customHeight="1" x14ac:dyDescent="0.3">
      <c r="A285" s="37" t="s">
        <v>1094</v>
      </c>
      <c r="B285" s="37"/>
      <c r="C285" s="37"/>
      <c r="D285" s="37"/>
      <c r="E285" s="38"/>
      <c r="F285" s="39"/>
      <c r="G285" s="38"/>
      <c r="H285" s="39"/>
      <c r="I285" s="38"/>
      <c r="J285" s="39"/>
      <c r="K285" s="38"/>
      <c r="L285" s="39"/>
      <c r="M285" s="37"/>
      <c r="N285" s="1" t="s">
        <v>254</v>
      </c>
    </row>
    <row r="286" spans="1:51" ht="30" customHeight="1" x14ac:dyDescent="0.3">
      <c r="A286" s="5" t="s">
        <v>1095</v>
      </c>
      <c r="B286" s="5" t="s">
        <v>1096</v>
      </c>
      <c r="C286" s="5" t="s">
        <v>58</v>
      </c>
      <c r="D286" s="6">
        <v>1</v>
      </c>
      <c r="E286" s="11">
        <f>단가대비표!O144</f>
        <v>586</v>
      </c>
      <c r="F286" s="10">
        <f t="shared" ref="F286:F292" si="71">TRUNC(E286*D286,2)</f>
        <v>586</v>
      </c>
      <c r="G286" s="11">
        <f>단가대비표!P144</f>
        <v>0</v>
      </c>
      <c r="H286" s="10">
        <f t="shared" ref="H286:H292" si="72">TRUNC(G286*D286,2)</f>
        <v>0</v>
      </c>
      <c r="I286" s="11">
        <f>단가대비표!V144</f>
        <v>0</v>
      </c>
      <c r="J286" s="10">
        <f t="shared" ref="J286:J292" si="73">TRUNC(I286*D286,2)</f>
        <v>0</v>
      </c>
      <c r="K286" s="11">
        <f t="shared" ref="K286:L292" si="74">TRUNC(E286+G286+I286,2)</f>
        <v>586</v>
      </c>
      <c r="L286" s="10">
        <f t="shared" si="74"/>
        <v>586</v>
      </c>
      <c r="M286" s="5" t="s">
        <v>51</v>
      </c>
      <c r="N286" s="1" t="s">
        <v>254</v>
      </c>
      <c r="O286" s="1" t="s">
        <v>1097</v>
      </c>
      <c r="P286" s="1" t="s">
        <v>60</v>
      </c>
      <c r="Q286" s="1" t="s">
        <v>60</v>
      </c>
      <c r="R286" s="1" t="s">
        <v>61</v>
      </c>
      <c r="AV286" s="1" t="s">
        <v>51</v>
      </c>
      <c r="AW286" s="1" t="s">
        <v>1098</v>
      </c>
      <c r="AX286" s="1" t="s">
        <v>51</v>
      </c>
      <c r="AY286" s="1" t="s">
        <v>51</v>
      </c>
    </row>
    <row r="287" spans="1:51" ht="30" customHeight="1" x14ac:dyDescent="0.3">
      <c r="A287" s="5" t="s">
        <v>1099</v>
      </c>
      <c r="B287" s="5" t="s">
        <v>1100</v>
      </c>
      <c r="C287" s="5" t="s">
        <v>58</v>
      </c>
      <c r="D287" s="6">
        <v>1</v>
      </c>
      <c r="E287" s="11">
        <f>단가대비표!O49</f>
        <v>1167</v>
      </c>
      <c r="F287" s="10">
        <f t="shared" si="71"/>
        <v>1167</v>
      </c>
      <c r="G287" s="11">
        <f>단가대비표!P49</f>
        <v>0</v>
      </c>
      <c r="H287" s="10">
        <f t="shared" si="72"/>
        <v>0</v>
      </c>
      <c r="I287" s="11">
        <f>단가대비표!V49</f>
        <v>0</v>
      </c>
      <c r="J287" s="10">
        <f t="shared" si="73"/>
        <v>0</v>
      </c>
      <c r="K287" s="11">
        <f t="shared" si="74"/>
        <v>1167</v>
      </c>
      <c r="L287" s="10">
        <f t="shared" si="74"/>
        <v>1167</v>
      </c>
      <c r="M287" s="5" t="s">
        <v>51</v>
      </c>
      <c r="N287" s="1" t="s">
        <v>254</v>
      </c>
      <c r="O287" s="1" t="s">
        <v>1101</v>
      </c>
      <c r="P287" s="1" t="s">
        <v>60</v>
      </c>
      <c r="Q287" s="1" t="s">
        <v>60</v>
      </c>
      <c r="R287" s="1" t="s">
        <v>61</v>
      </c>
      <c r="AV287" s="1" t="s">
        <v>51</v>
      </c>
      <c r="AW287" s="1" t="s">
        <v>1102</v>
      </c>
      <c r="AX287" s="1" t="s">
        <v>51</v>
      </c>
      <c r="AY287" s="1" t="s">
        <v>51</v>
      </c>
    </row>
    <row r="288" spans="1:51" ht="30" customHeight="1" x14ac:dyDescent="0.3">
      <c r="A288" s="5" t="s">
        <v>1103</v>
      </c>
      <c r="B288" s="5" t="s">
        <v>1104</v>
      </c>
      <c r="C288" s="5" t="s">
        <v>58</v>
      </c>
      <c r="D288" s="6">
        <v>1</v>
      </c>
      <c r="E288" s="11">
        <f>단가대비표!O52</f>
        <v>120</v>
      </c>
      <c r="F288" s="10">
        <f t="shared" si="71"/>
        <v>120</v>
      </c>
      <c r="G288" s="11">
        <f>단가대비표!P52</f>
        <v>0</v>
      </c>
      <c r="H288" s="10">
        <f t="shared" si="72"/>
        <v>0</v>
      </c>
      <c r="I288" s="11">
        <f>단가대비표!V52</f>
        <v>0</v>
      </c>
      <c r="J288" s="10">
        <f t="shared" si="73"/>
        <v>0</v>
      </c>
      <c r="K288" s="11">
        <f t="shared" si="74"/>
        <v>120</v>
      </c>
      <c r="L288" s="10">
        <f t="shared" si="74"/>
        <v>120</v>
      </c>
      <c r="M288" s="5" t="s">
        <v>51</v>
      </c>
      <c r="N288" s="1" t="s">
        <v>254</v>
      </c>
      <c r="O288" s="1" t="s">
        <v>1105</v>
      </c>
      <c r="P288" s="1" t="s">
        <v>60</v>
      </c>
      <c r="Q288" s="1" t="s">
        <v>60</v>
      </c>
      <c r="R288" s="1" t="s">
        <v>61</v>
      </c>
      <c r="AV288" s="1" t="s">
        <v>51</v>
      </c>
      <c r="AW288" s="1" t="s">
        <v>1106</v>
      </c>
      <c r="AX288" s="1" t="s">
        <v>51</v>
      </c>
      <c r="AY288" s="1" t="s">
        <v>51</v>
      </c>
    </row>
    <row r="289" spans="1:51" ht="30" customHeight="1" x14ac:dyDescent="0.3">
      <c r="A289" s="5" t="s">
        <v>1107</v>
      </c>
      <c r="B289" s="5" t="s">
        <v>1108</v>
      </c>
      <c r="C289" s="5" t="s">
        <v>58</v>
      </c>
      <c r="D289" s="6">
        <v>2</v>
      </c>
      <c r="E289" s="11">
        <f>단가대비표!O50</f>
        <v>25.1</v>
      </c>
      <c r="F289" s="10">
        <f t="shared" si="71"/>
        <v>50.2</v>
      </c>
      <c r="G289" s="11">
        <f>단가대비표!P50</f>
        <v>0</v>
      </c>
      <c r="H289" s="10">
        <f t="shared" si="72"/>
        <v>0</v>
      </c>
      <c r="I289" s="11">
        <f>단가대비표!V50</f>
        <v>0</v>
      </c>
      <c r="J289" s="10">
        <f t="shared" si="73"/>
        <v>0</v>
      </c>
      <c r="K289" s="11">
        <f t="shared" si="74"/>
        <v>25.1</v>
      </c>
      <c r="L289" s="10">
        <f t="shared" si="74"/>
        <v>50.2</v>
      </c>
      <c r="M289" s="5" t="s">
        <v>51</v>
      </c>
      <c r="N289" s="1" t="s">
        <v>254</v>
      </c>
      <c r="O289" s="1" t="s">
        <v>1109</v>
      </c>
      <c r="P289" s="1" t="s">
        <v>60</v>
      </c>
      <c r="Q289" s="1" t="s">
        <v>60</v>
      </c>
      <c r="R289" s="1" t="s">
        <v>61</v>
      </c>
      <c r="AV289" s="1" t="s">
        <v>51</v>
      </c>
      <c r="AW289" s="1" t="s">
        <v>1110</v>
      </c>
      <c r="AX289" s="1" t="s">
        <v>51</v>
      </c>
      <c r="AY289" s="1" t="s">
        <v>51</v>
      </c>
    </row>
    <row r="290" spans="1:51" ht="30" customHeight="1" x14ac:dyDescent="0.3">
      <c r="A290" s="5" t="s">
        <v>1111</v>
      </c>
      <c r="B290" s="5" t="s">
        <v>1112</v>
      </c>
      <c r="C290" s="5" t="s">
        <v>58</v>
      </c>
      <c r="D290" s="6">
        <v>2</v>
      </c>
      <c r="E290" s="11">
        <f>단가대비표!O51</f>
        <v>9.1999999999999993</v>
      </c>
      <c r="F290" s="10">
        <f t="shared" si="71"/>
        <v>18.399999999999999</v>
      </c>
      <c r="G290" s="11">
        <f>단가대비표!P51</f>
        <v>0</v>
      </c>
      <c r="H290" s="10">
        <f t="shared" si="72"/>
        <v>0</v>
      </c>
      <c r="I290" s="11">
        <f>단가대비표!V51</f>
        <v>0</v>
      </c>
      <c r="J290" s="10">
        <f t="shared" si="73"/>
        <v>0</v>
      </c>
      <c r="K290" s="11">
        <f t="shared" si="74"/>
        <v>9.1999999999999993</v>
      </c>
      <c r="L290" s="10">
        <f t="shared" si="74"/>
        <v>18.399999999999999</v>
      </c>
      <c r="M290" s="5" t="s">
        <v>51</v>
      </c>
      <c r="N290" s="1" t="s">
        <v>254</v>
      </c>
      <c r="O290" s="1" t="s">
        <v>1113</v>
      </c>
      <c r="P290" s="1" t="s">
        <v>60</v>
      </c>
      <c r="Q290" s="1" t="s">
        <v>60</v>
      </c>
      <c r="R290" s="1" t="s">
        <v>61</v>
      </c>
      <c r="AV290" s="1" t="s">
        <v>51</v>
      </c>
      <c r="AW290" s="1" t="s">
        <v>1114</v>
      </c>
      <c r="AX290" s="1" t="s">
        <v>51</v>
      </c>
      <c r="AY290" s="1" t="s">
        <v>51</v>
      </c>
    </row>
    <row r="291" spans="1:51" ht="30" customHeight="1" x14ac:dyDescent="0.3">
      <c r="A291" s="5" t="s">
        <v>769</v>
      </c>
      <c r="B291" s="5" t="s">
        <v>751</v>
      </c>
      <c r="C291" s="5" t="s">
        <v>752</v>
      </c>
      <c r="D291" s="6">
        <f>공량산출근거서!K143</f>
        <v>3.5999999999999997E-2</v>
      </c>
      <c r="E291" s="11">
        <f>단가대비표!O169</f>
        <v>0</v>
      </c>
      <c r="F291" s="10">
        <f t="shared" si="71"/>
        <v>0</v>
      </c>
      <c r="G291" s="11">
        <f>단가대비표!P169</f>
        <v>273676</v>
      </c>
      <c r="H291" s="10">
        <f t="shared" si="72"/>
        <v>9852.33</v>
      </c>
      <c r="I291" s="11">
        <f>단가대비표!V169</f>
        <v>0</v>
      </c>
      <c r="J291" s="10">
        <f t="shared" si="73"/>
        <v>0</v>
      </c>
      <c r="K291" s="11">
        <f t="shared" si="74"/>
        <v>273676</v>
      </c>
      <c r="L291" s="10">
        <f t="shared" si="74"/>
        <v>9852.33</v>
      </c>
      <c r="M291" s="5" t="s">
        <v>51</v>
      </c>
      <c r="N291" s="1" t="s">
        <v>254</v>
      </c>
      <c r="O291" s="1" t="s">
        <v>770</v>
      </c>
      <c r="P291" s="1" t="s">
        <v>60</v>
      </c>
      <c r="Q291" s="1" t="s">
        <v>60</v>
      </c>
      <c r="R291" s="1" t="s">
        <v>61</v>
      </c>
      <c r="V291">
        <v>1</v>
      </c>
      <c r="AV291" s="1" t="s">
        <v>51</v>
      </c>
      <c r="AW291" s="1" t="s">
        <v>1115</v>
      </c>
      <c r="AX291" s="1" t="s">
        <v>51</v>
      </c>
      <c r="AY291" s="1" t="s">
        <v>51</v>
      </c>
    </row>
    <row r="292" spans="1:51" ht="30" customHeight="1" x14ac:dyDescent="0.3">
      <c r="A292" s="5" t="s">
        <v>758</v>
      </c>
      <c r="B292" s="5" t="s">
        <v>759</v>
      </c>
      <c r="C292" s="5" t="s">
        <v>631</v>
      </c>
      <c r="D292" s="6">
        <v>1</v>
      </c>
      <c r="E292" s="11">
        <f>TRUNC(SUMIF(V286:V292, RIGHTB(O292, 1), H286:H292)*U292, 2)</f>
        <v>295.56</v>
      </c>
      <c r="F292" s="10">
        <f t="shared" si="71"/>
        <v>295.56</v>
      </c>
      <c r="G292" s="11">
        <v>0</v>
      </c>
      <c r="H292" s="10">
        <f t="shared" si="72"/>
        <v>0</v>
      </c>
      <c r="I292" s="11">
        <v>0</v>
      </c>
      <c r="J292" s="10">
        <f t="shared" si="73"/>
        <v>0</v>
      </c>
      <c r="K292" s="11">
        <f t="shared" si="74"/>
        <v>295.56</v>
      </c>
      <c r="L292" s="10">
        <f t="shared" si="74"/>
        <v>295.56</v>
      </c>
      <c r="M292" s="5" t="s">
        <v>51</v>
      </c>
      <c r="N292" s="1" t="s">
        <v>254</v>
      </c>
      <c r="O292" s="1" t="s">
        <v>657</v>
      </c>
      <c r="P292" s="1" t="s">
        <v>60</v>
      </c>
      <c r="Q292" s="1" t="s">
        <v>60</v>
      </c>
      <c r="R292" s="1" t="s">
        <v>60</v>
      </c>
      <c r="S292">
        <v>1</v>
      </c>
      <c r="T292">
        <v>0</v>
      </c>
      <c r="U292">
        <v>0.03</v>
      </c>
      <c r="AV292" s="1" t="s">
        <v>51</v>
      </c>
      <c r="AW292" s="1" t="s">
        <v>1116</v>
      </c>
      <c r="AX292" s="1" t="s">
        <v>51</v>
      </c>
      <c r="AY292" s="1" t="s">
        <v>51</v>
      </c>
    </row>
    <row r="293" spans="1:51" ht="30" customHeight="1" x14ac:dyDescent="0.3">
      <c r="A293" s="5" t="s">
        <v>762</v>
      </c>
      <c r="B293" s="5" t="s">
        <v>51</v>
      </c>
      <c r="C293" s="5" t="s">
        <v>51</v>
      </c>
      <c r="D293" s="6"/>
      <c r="E293" s="11"/>
      <c r="F293" s="10">
        <f>TRUNC(SUMIF(N286:N292, N285, F286:F292),0)</f>
        <v>2237</v>
      </c>
      <c r="G293" s="11"/>
      <c r="H293" s="10">
        <f>TRUNC(SUMIF(N286:N292, N285, H286:H292),0)</f>
        <v>9852</v>
      </c>
      <c r="I293" s="11"/>
      <c r="J293" s="10">
        <f>TRUNC(SUMIF(N286:N292, N285, J286:J292),0)</f>
        <v>0</v>
      </c>
      <c r="K293" s="11"/>
      <c r="L293" s="10">
        <f>F293+H293+J293</f>
        <v>12089</v>
      </c>
      <c r="M293" s="5" t="s">
        <v>51</v>
      </c>
      <c r="N293" s="1" t="s">
        <v>208</v>
      </c>
      <c r="O293" s="1" t="s">
        <v>208</v>
      </c>
      <c r="P293" s="1" t="s">
        <v>51</v>
      </c>
      <c r="Q293" s="1" t="s">
        <v>51</v>
      </c>
      <c r="R293" s="1" t="s">
        <v>51</v>
      </c>
      <c r="AV293" s="1" t="s">
        <v>51</v>
      </c>
      <c r="AW293" s="1" t="s">
        <v>51</v>
      </c>
      <c r="AX293" s="1" t="s">
        <v>51</v>
      </c>
      <c r="AY293" s="1" t="s">
        <v>51</v>
      </c>
    </row>
    <row r="294" spans="1:51" ht="30" customHeight="1" x14ac:dyDescent="0.3">
      <c r="A294" s="6"/>
      <c r="B294" s="6"/>
      <c r="C294" s="6"/>
      <c r="D294" s="6"/>
      <c r="E294" s="11"/>
      <c r="F294" s="10"/>
      <c r="G294" s="11"/>
      <c r="H294" s="10"/>
      <c r="I294" s="11"/>
      <c r="J294" s="10"/>
      <c r="K294" s="11"/>
      <c r="L294" s="10"/>
      <c r="M294" s="6"/>
    </row>
    <row r="295" spans="1:51" ht="30" customHeight="1" x14ac:dyDescent="0.3">
      <c r="A295" s="37" t="s">
        <v>1117</v>
      </c>
      <c r="B295" s="37"/>
      <c r="C295" s="37"/>
      <c r="D295" s="37"/>
      <c r="E295" s="38"/>
      <c r="F295" s="39"/>
      <c r="G295" s="38"/>
      <c r="H295" s="39"/>
      <c r="I295" s="38"/>
      <c r="J295" s="39"/>
      <c r="K295" s="38"/>
      <c r="L295" s="39"/>
      <c r="M295" s="37"/>
      <c r="N295" s="1" t="s">
        <v>258</v>
      </c>
    </row>
    <row r="296" spans="1:51" ht="30" customHeight="1" x14ac:dyDescent="0.3">
      <c r="A296" s="5" t="s">
        <v>1095</v>
      </c>
      <c r="B296" s="5" t="s">
        <v>1118</v>
      </c>
      <c r="C296" s="5" t="s">
        <v>58</v>
      </c>
      <c r="D296" s="6">
        <v>1</v>
      </c>
      <c r="E296" s="11">
        <f>단가대비표!O145</f>
        <v>636</v>
      </c>
      <c r="F296" s="10">
        <f t="shared" ref="F296:F302" si="75">TRUNC(E296*D296,2)</f>
        <v>636</v>
      </c>
      <c r="G296" s="11">
        <f>단가대비표!P145</f>
        <v>0</v>
      </c>
      <c r="H296" s="10">
        <f t="shared" ref="H296:H302" si="76">TRUNC(G296*D296,2)</f>
        <v>0</v>
      </c>
      <c r="I296" s="11">
        <f>단가대비표!V145</f>
        <v>0</v>
      </c>
      <c r="J296" s="10">
        <f t="shared" ref="J296:J302" si="77">TRUNC(I296*D296,2)</f>
        <v>0</v>
      </c>
      <c r="K296" s="11">
        <f t="shared" ref="K296:L302" si="78">TRUNC(E296+G296+I296,2)</f>
        <v>636</v>
      </c>
      <c r="L296" s="10">
        <f t="shared" si="78"/>
        <v>636</v>
      </c>
      <c r="M296" s="5" t="s">
        <v>51</v>
      </c>
      <c r="N296" s="1" t="s">
        <v>258</v>
      </c>
      <c r="O296" s="1" t="s">
        <v>1119</v>
      </c>
      <c r="P296" s="1" t="s">
        <v>60</v>
      </c>
      <c r="Q296" s="1" t="s">
        <v>60</v>
      </c>
      <c r="R296" s="1" t="s">
        <v>61</v>
      </c>
      <c r="AV296" s="1" t="s">
        <v>51</v>
      </c>
      <c r="AW296" s="1" t="s">
        <v>1120</v>
      </c>
      <c r="AX296" s="1" t="s">
        <v>51</v>
      </c>
      <c r="AY296" s="1" t="s">
        <v>51</v>
      </c>
    </row>
    <row r="297" spans="1:51" ht="30" customHeight="1" x14ac:dyDescent="0.3">
      <c r="A297" s="5" t="s">
        <v>1099</v>
      </c>
      <c r="B297" s="5" t="s">
        <v>1100</v>
      </c>
      <c r="C297" s="5" t="s">
        <v>58</v>
      </c>
      <c r="D297" s="6">
        <v>1</v>
      </c>
      <c r="E297" s="11">
        <f>단가대비표!O49</f>
        <v>1167</v>
      </c>
      <c r="F297" s="10">
        <f t="shared" si="75"/>
        <v>1167</v>
      </c>
      <c r="G297" s="11">
        <f>단가대비표!P49</f>
        <v>0</v>
      </c>
      <c r="H297" s="10">
        <f t="shared" si="76"/>
        <v>0</v>
      </c>
      <c r="I297" s="11">
        <f>단가대비표!V49</f>
        <v>0</v>
      </c>
      <c r="J297" s="10">
        <f t="shared" si="77"/>
        <v>0</v>
      </c>
      <c r="K297" s="11">
        <f t="shared" si="78"/>
        <v>1167</v>
      </c>
      <c r="L297" s="10">
        <f t="shared" si="78"/>
        <v>1167</v>
      </c>
      <c r="M297" s="5" t="s">
        <v>51</v>
      </c>
      <c r="N297" s="1" t="s">
        <v>258</v>
      </c>
      <c r="O297" s="1" t="s">
        <v>1101</v>
      </c>
      <c r="P297" s="1" t="s">
        <v>60</v>
      </c>
      <c r="Q297" s="1" t="s">
        <v>60</v>
      </c>
      <c r="R297" s="1" t="s">
        <v>61</v>
      </c>
      <c r="AV297" s="1" t="s">
        <v>51</v>
      </c>
      <c r="AW297" s="1" t="s">
        <v>1121</v>
      </c>
      <c r="AX297" s="1" t="s">
        <v>51</v>
      </c>
      <c r="AY297" s="1" t="s">
        <v>51</v>
      </c>
    </row>
    <row r="298" spans="1:51" ht="30" customHeight="1" x14ac:dyDescent="0.3">
      <c r="A298" s="5" t="s">
        <v>1103</v>
      </c>
      <c r="B298" s="5" t="s">
        <v>1104</v>
      </c>
      <c r="C298" s="5" t="s">
        <v>58</v>
      </c>
      <c r="D298" s="6">
        <v>1</v>
      </c>
      <c r="E298" s="11">
        <f>단가대비표!O52</f>
        <v>120</v>
      </c>
      <c r="F298" s="10">
        <f t="shared" si="75"/>
        <v>120</v>
      </c>
      <c r="G298" s="11">
        <f>단가대비표!P52</f>
        <v>0</v>
      </c>
      <c r="H298" s="10">
        <f t="shared" si="76"/>
        <v>0</v>
      </c>
      <c r="I298" s="11">
        <f>단가대비표!V52</f>
        <v>0</v>
      </c>
      <c r="J298" s="10">
        <f t="shared" si="77"/>
        <v>0</v>
      </c>
      <c r="K298" s="11">
        <f t="shared" si="78"/>
        <v>120</v>
      </c>
      <c r="L298" s="10">
        <f t="shared" si="78"/>
        <v>120</v>
      </c>
      <c r="M298" s="5" t="s">
        <v>51</v>
      </c>
      <c r="N298" s="1" t="s">
        <v>258</v>
      </c>
      <c r="O298" s="1" t="s">
        <v>1105</v>
      </c>
      <c r="P298" s="1" t="s">
        <v>60</v>
      </c>
      <c r="Q298" s="1" t="s">
        <v>60</v>
      </c>
      <c r="R298" s="1" t="s">
        <v>61</v>
      </c>
      <c r="AV298" s="1" t="s">
        <v>51</v>
      </c>
      <c r="AW298" s="1" t="s">
        <v>1122</v>
      </c>
      <c r="AX298" s="1" t="s">
        <v>51</v>
      </c>
      <c r="AY298" s="1" t="s">
        <v>51</v>
      </c>
    </row>
    <row r="299" spans="1:51" ht="30" customHeight="1" x14ac:dyDescent="0.3">
      <c r="A299" s="5" t="s">
        <v>1107</v>
      </c>
      <c r="B299" s="5" t="s">
        <v>1108</v>
      </c>
      <c r="C299" s="5" t="s">
        <v>58</v>
      </c>
      <c r="D299" s="6">
        <v>2</v>
      </c>
      <c r="E299" s="11">
        <f>단가대비표!O50</f>
        <v>25.1</v>
      </c>
      <c r="F299" s="10">
        <f t="shared" si="75"/>
        <v>50.2</v>
      </c>
      <c r="G299" s="11">
        <f>단가대비표!P50</f>
        <v>0</v>
      </c>
      <c r="H299" s="10">
        <f t="shared" si="76"/>
        <v>0</v>
      </c>
      <c r="I299" s="11">
        <f>단가대비표!V50</f>
        <v>0</v>
      </c>
      <c r="J299" s="10">
        <f t="shared" si="77"/>
        <v>0</v>
      </c>
      <c r="K299" s="11">
        <f t="shared" si="78"/>
        <v>25.1</v>
      </c>
      <c r="L299" s="10">
        <f t="shared" si="78"/>
        <v>50.2</v>
      </c>
      <c r="M299" s="5" t="s">
        <v>51</v>
      </c>
      <c r="N299" s="1" t="s">
        <v>258</v>
      </c>
      <c r="O299" s="1" t="s">
        <v>1109</v>
      </c>
      <c r="P299" s="1" t="s">
        <v>60</v>
      </c>
      <c r="Q299" s="1" t="s">
        <v>60</v>
      </c>
      <c r="R299" s="1" t="s">
        <v>61</v>
      </c>
      <c r="AV299" s="1" t="s">
        <v>51</v>
      </c>
      <c r="AW299" s="1" t="s">
        <v>1123</v>
      </c>
      <c r="AX299" s="1" t="s">
        <v>51</v>
      </c>
      <c r="AY299" s="1" t="s">
        <v>51</v>
      </c>
    </row>
    <row r="300" spans="1:51" ht="30" customHeight="1" x14ac:dyDescent="0.3">
      <c r="A300" s="5" t="s">
        <v>1111</v>
      </c>
      <c r="B300" s="5" t="s">
        <v>1112</v>
      </c>
      <c r="C300" s="5" t="s">
        <v>58</v>
      </c>
      <c r="D300" s="6">
        <v>2</v>
      </c>
      <c r="E300" s="11">
        <f>단가대비표!O51</f>
        <v>9.1999999999999993</v>
      </c>
      <c r="F300" s="10">
        <f t="shared" si="75"/>
        <v>18.399999999999999</v>
      </c>
      <c r="G300" s="11">
        <f>단가대비표!P51</f>
        <v>0</v>
      </c>
      <c r="H300" s="10">
        <f t="shared" si="76"/>
        <v>0</v>
      </c>
      <c r="I300" s="11">
        <f>단가대비표!V51</f>
        <v>0</v>
      </c>
      <c r="J300" s="10">
        <f t="shared" si="77"/>
        <v>0</v>
      </c>
      <c r="K300" s="11">
        <f t="shared" si="78"/>
        <v>9.1999999999999993</v>
      </c>
      <c r="L300" s="10">
        <f t="shared" si="78"/>
        <v>18.399999999999999</v>
      </c>
      <c r="M300" s="5" t="s">
        <v>51</v>
      </c>
      <c r="N300" s="1" t="s">
        <v>258</v>
      </c>
      <c r="O300" s="1" t="s">
        <v>1113</v>
      </c>
      <c r="P300" s="1" t="s">
        <v>60</v>
      </c>
      <c r="Q300" s="1" t="s">
        <v>60</v>
      </c>
      <c r="R300" s="1" t="s">
        <v>61</v>
      </c>
      <c r="AV300" s="1" t="s">
        <v>51</v>
      </c>
      <c r="AW300" s="1" t="s">
        <v>1124</v>
      </c>
      <c r="AX300" s="1" t="s">
        <v>51</v>
      </c>
      <c r="AY300" s="1" t="s">
        <v>51</v>
      </c>
    </row>
    <row r="301" spans="1:51" ht="30" customHeight="1" x14ac:dyDescent="0.3">
      <c r="A301" s="5" t="s">
        <v>769</v>
      </c>
      <c r="B301" s="5" t="s">
        <v>751</v>
      </c>
      <c r="C301" s="5" t="s">
        <v>752</v>
      </c>
      <c r="D301" s="6">
        <f>공량산출근거서!K146</f>
        <v>3.5999999999999997E-2</v>
      </c>
      <c r="E301" s="11">
        <f>단가대비표!O169</f>
        <v>0</v>
      </c>
      <c r="F301" s="10">
        <f t="shared" si="75"/>
        <v>0</v>
      </c>
      <c r="G301" s="11">
        <f>단가대비표!P169</f>
        <v>273676</v>
      </c>
      <c r="H301" s="10">
        <f t="shared" si="76"/>
        <v>9852.33</v>
      </c>
      <c r="I301" s="11">
        <f>단가대비표!V169</f>
        <v>0</v>
      </c>
      <c r="J301" s="10">
        <f t="shared" si="77"/>
        <v>0</v>
      </c>
      <c r="K301" s="11">
        <f t="shared" si="78"/>
        <v>273676</v>
      </c>
      <c r="L301" s="10">
        <f t="shared" si="78"/>
        <v>9852.33</v>
      </c>
      <c r="M301" s="5" t="s">
        <v>51</v>
      </c>
      <c r="N301" s="1" t="s">
        <v>258</v>
      </c>
      <c r="O301" s="1" t="s">
        <v>770</v>
      </c>
      <c r="P301" s="1" t="s">
        <v>60</v>
      </c>
      <c r="Q301" s="1" t="s">
        <v>60</v>
      </c>
      <c r="R301" s="1" t="s">
        <v>61</v>
      </c>
      <c r="V301">
        <v>1</v>
      </c>
      <c r="AV301" s="1" t="s">
        <v>51</v>
      </c>
      <c r="AW301" s="1" t="s">
        <v>1125</v>
      </c>
      <c r="AX301" s="1" t="s">
        <v>51</v>
      </c>
      <c r="AY301" s="1" t="s">
        <v>51</v>
      </c>
    </row>
    <row r="302" spans="1:51" ht="30" customHeight="1" x14ac:dyDescent="0.3">
      <c r="A302" s="5" t="s">
        <v>758</v>
      </c>
      <c r="B302" s="5" t="s">
        <v>759</v>
      </c>
      <c r="C302" s="5" t="s">
        <v>631</v>
      </c>
      <c r="D302" s="6">
        <v>1</v>
      </c>
      <c r="E302" s="11">
        <f>TRUNC(SUMIF(V296:V302, RIGHTB(O302, 1), H296:H302)*U302, 2)</f>
        <v>295.56</v>
      </c>
      <c r="F302" s="10">
        <f t="shared" si="75"/>
        <v>295.56</v>
      </c>
      <c r="G302" s="11">
        <v>0</v>
      </c>
      <c r="H302" s="10">
        <f t="shared" si="76"/>
        <v>0</v>
      </c>
      <c r="I302" s="11">
        <v>0</v>
      </c>
      <c r="J302" s="10">
        <f t="shared" si="77"/>
        <v>0</v>
      </c>
      <c r="K302" s="11">
        <f t="shared" si="78"/>
        <v>295.56</v>
      </c>
      <c r="L302" s="10">
        <f t="shared" si="78"/>
        <v>295.56</v>
      </c>
      <c r="M302" s="5" t="s">
        <v>51</v>
      </c>
      <c r="N302" s="1" t="s">
        <v>258</v>
      </c>
      <c r="O302" s="1" t="s">
        <v>657</v>
      </c>
      <c r="P302" s="1" t="s">
        <v>60</v>
      </c>
      <c r="Q302" s="1" t="s">
        <v>60</v>
      </c>
      <c r="R302" s="1" t="s">
        <v>60</v>
      </c>
      <c r="S302">
        <v>1</v>
      </c>
      <c r="T302">
        <v>0</v>
      </c>
      <c r="U302">
        <v>0.03</v>
      </c>
      <c r="AV302" s="1" t="s">
        <v>51</v>
      </c>
      <c r="AW302" s="1" t="s">
        <v>1126</v>
      </c>
      <c r="AX302" s="1" t="s">
        <v>51</v>
      </c>
      <c r="AY302" s="1" t="s">
        <v>51</v>
      </c>
    </row>
    <row r="303" spans="1:51" ht="30" customHeight="1" x14ac:dyDescent="0.3">
      <c r="A303" s="5" t="s">
        <v>762</v>
      </c>
      <c r="B303" s="5" t="s">
        <v>51</v>
      </c>
      <c r="C303" s="5" t="s">
        <v>51</v>
      </c>
      <c r="D303" s="6"/>
      <c r="E303" s="11"/>
      <c r="F303" s="10">
        <f>TRUNC(SUMIF(N296:N302, N295, F296:F302),0)</f>
        <v>2287</v>
      </c>
      <c r="G303" s="11"/>
      <c r="H303" s="10">
        <f>TRUNC(SUMIF(N296:N302, N295, H296:H302),0)</f>
        <v>9852</v>
      </c>
      <c r="I303" s="11"/>
      <c r="J303" s="10">
        <f>TRUNC(SUMIF(N296:N302, N295, J296:J302),0)</f>
        <v>0</v>
      </c>
      <c r="K303" s="11"/>
      <c r="L303" s="10">
        <f>F303+H303+J303</f>
        <v>12139</v>
      </c>
      <c r="M303" s="5" t="s">
        <v>51</v>
      </c>
      <c r="N303" s="1" t="s">
        <v>208</v>
      </c>
      <c r="O303" s="1" t="s">
        <v>208</v>
      </c>
      <c r="P303" s="1" t="s">
        <v>51</v>
      </c>
      <c r="Q303" s="1" t="s">
        <v>51</v>
      </c>
      <c r="R303" s="1" t="s">
        <v>51</v>
      </c>
      <c r="AV303" s="1" t="s">
        <v>51</v>
      </c>
      <c r="AW303" s="1" t="s">
        <v>51</v>
      </c>
      <c r="AX303" s="1" t="s">
        <v>51</v>
      </c>
      <c r="AY303" s="1" t="s">
        <v>51</v>
      </c>
    </row>
    <row r="304" spans="1:51" ht="30" customHeight="1" x14ac:dyDescent="0.3">
      <c r="A304" s="6"/>
      <c r="B304" s="6"/>
      <c r="C304" s="6"/>
      <c r="D304" s="6"/>
      <c r="E304" s="11"/>
      <c r="F304" s="10"/>
      <c r="G304" s="11"/>
      <c r="H304" s="10"/>
      <c r="I304" s="11"/>
      <c r="J304" s="10"/>
      <c r="K304" s="11"/>
      <c r="L304" s="10"/>
      <c r="M304" s="6"/>
    </row>
    <row r="305" spans="1:51" ht="30" customHeight="1" x14ac:dyDescent="0.3">
      <c r="A305" s="37" t="s">
        <v>1127</v>
      </c>
      <c r="B305" s="37"/>
      <c r="C305" s="37"/>
      <c r="D305" s="37"/>
      <c r="E305" s="38"/>
      <c r="F305" s="39"/>
      <c r="G305" s="38"/>
      <c r="H305" s="39"/>
      <c r="I305" s="38"/>
      <c r="J305" s="39"/>
      <c r="K305" s="38"/>
      <c r="L305" s="39"/>
      <c r="M305" s="37"/>
      <c r="N305" s="1" t="s">
        <v>262</v>
      </c>
    </row>
    <row r="306" spans="1:51" ht="30" customHeight="1" x14ac:dyDescent="0.3">
      <c r="A306" s="5" t="s">
        <v>106</v>
      </c>
      <c r="B306" s="5" t="s">
        <v>1128</v>
      </c>
      <c r="C306" s="5" t="s">
        <v>65</v>
      </c>
      <c r="D306" s="6">
        <v>1</v>
      </c>
      <c r="E306" s="11">
        <f>단가대비표!O40</f>
        <v>12452</v>
      </c>
      <c r="F306" s="10">
        <f>TRUNC(E306*D306,2)</f>
        <v>12452</v>
      </c>
      <c r="G306" s="11">
        <f>단가대비표!P40</f>
        <v>0</v>
      </c>
      <c r="H306" s="10">
        <f>TRUNC(G306*D306,2)</f>
        <v>0</v>
      </c>
      <c r="I306" s="11">
        <f>단가대비표!V40</f>
        <v>0</v>
      </c>
      <c r="J306" s="10">
        <f>TRUNC(I306*D306,2)</f>
        <v>0</v>
      </c>
      <c r="K306" s="11">
        <f t="shared" ref="K306:L310" si="79">TRUNC(E306+G306+I306,2)</f>
        <v>12452</v>
      </c>
      <c r="L306" s="10">
        <f t="shared" si="79"/>
        <v>12452</v>
      </c>
      <c r="M306" s="5" t="s">
        <v>51</v>
      </c>
      <c r="N306" s="1" t="s">
        <v>262</v>
      </c>
      <c r="O306" s="1" t="s">
        <v>1129</v>
      </c>
      <c r="P306" s="1" t="s">
        <v>60</v>
      </c>
      <c r="Q306" s="1" t="s">
        <v>60</v>
      </c>
      <c r="R306" s="1" t="s">
        <v>61</v>
      </c>
      <c r="V306">
        <v>1</v>
      </c>
      <c r="AV306" s="1" t="s">
        <v>51</v>
      </c>
      <c r="AW306" s="1" t="s">
        <v>1130</v>
      </c>
      <c r="AX306" s="1" t="s">
        <v>51</v>
      </c>
      <c r="AY306" s="1" t="s">
        <v>51</v>
      </c>
    </row>
    <row r="307" spans="1:51" ht="30" customHeight="1" x14ac:dyDescent="0.3">
      <c r="A307" s="5" t="s">
        <v>106</v>
      </c>
      <c r="B307" s="5" t="s">
        <v>1128</v>
      </c>
      <c r="C307" s="5" t="s">
        <v>65</v>
      </c>
      <c r="D307" s="6">
        <v>0.05</v>
      </c>
      <c r="E307" s="11">
        <f>단가대비표!O40</f>
        <v>12452</v>
      </c>
      <c r="F307" s="10">
        <f>TRUNC(E307*D307,2)</f>
        <v>622.6</v>
      </c>
      <c r="G307" s="11">
        <f>단가대비표!P40</f>
        <v>0</v>
      </c>
      <c r="H307" s="10">
        <f>TRUNC(G307*D307,2)</f>
        <v>0</v>
      </c>
      <c r="I307" s="11">
        <f>단가대비표!V40</f>
        <v>0</v>
      </c>
      <c r="J307" s="10">
        <f>TRUNC(I307*D307,2)</f>
        <v>0</v>
      </c>
      <c r="K307" s="11">
        <f t="shared" si="79"/>
        <v>12452</v>
      </c>
      <c r="L307" s="10">
        <f t="shared" si="79"/>
        <v>622.6</v>
      </c>
      <c r="M307" s="5" t="s">
        <v>51</v>
      </c>
      <c r="N307" s="1" t="s">
        <v>262</v>
      </c>
      <c r="O307" s="1" t="s">
        <v>1129</v>
      </c>
      <c r="P307" s="1" t="s">
        <v>60</v>
      </c>
      <c r="Q307" s="1" t="s">
        <v>60</v>
      </c>
      <c r="R307" s="1" t="s">
        <v>61</v>
      </c>
      <c r="AV307" s="1" t="s">
        <v>51</v>
      </c>
      <c r="AW307" s="1" t="s">
        <v>1130</v>
      </c>
      <c r="AX307" s="1" t="s">
        <v>51</v>
      </c>
      <c r="AY307" s="1" t="s">
        <v>51</v>
      </c>
    </row>
    <row r="308" spans="1:51" ht="30" customHeight="1" x14ac:dyDescent="0.3">
      <c r="A308" s="5" t="s">
        <v>746</v>
      </c>
      <c r="B308" s="5" t="s">
        <v>786</v>
      </c>
      <c r="C308" s="5" t="s">
        <v>631</v>
      </c>
      <c r="D308" s="6">
        <v>1</v>
      </c>
      <c r="E308" s="11">
        <f>TRUNC(SUMIF(V306:V310, RIGHTB(O308, 1), F306:F310)*U308, 2)</f>
        <v>249.04</v>
      </c>
      <c r="F308" s="10">
        <f>TRUNC(E308*D308,2)</f>
        <v>249.04</v>
      </c>
      <c r="G308" s="11">
        <v>0</v>
      </c>
      <c r="H308" s="10">
        <f>TRUNC(G308*D308,2)</f>
        <v>0</v>
      </c>
      <c r="I308" s="11">
        <v>0</v>
      </c>
      <c r="J308" s="10">
        <f>TRUNC(I308*D308,2)</f>
        <v>0</v>
      </c>
      <c r="K308" s="11">
        <f t="shared" si="79"/>
        <v>249.04</v>
      </c>
      <c r="L308" s="10">
        <f t="shared" si="79"/>
        <v>249.04</v>
      </c>
      <c r="M308" s="5" t="s">
        <v>51</v>
      </c>
      <c r="N308" s="1" t="s">
        <v>262</v>
      </c>
      <c r="O308" s="1" t="s">
        <v>657</v>
      </c>
      <c r="P308" s="1" t="s">
        <v>60</v>
      </c>
      <c r="Q308" s="1" t="s">
        <v>60</v>
      </c>
      <c r="R308" s="1" t="s">
        <v>60</v>
      </c>
      <c r="S308">
        <v>0</v>
      </c>
      <c r="T308">
        <v>0</v>
      </c>
      <c r="U308">
        <v>0.02</v>
      </c>
      <c r="AV308" s="1" t="s">
        <v>51</v>
      </c>
      <c r="AW308" s="1" t="s">
        <v>1131</v>
      </c>
      <c r="AX308" s="1" t="s">
        <v>51</v>
      </c>
      <c r="AY308" s="1" t="s">
        <v>51</v>
      </c>
    </row>
    <row r="309" spans="1:51" ht="30" customHeight="1" x14ac:dyDescent="0.3">
      <c r="A309" s="5" t="s">
        <v>865</v>
      </c>
      <c r="B309" s="5" t="s">
        <v>751</v>
      </c>
      <c r="C309" s="5" t="s">
        <v>752</v>
      </c>
      <c r="D309" s="6">
        <f>공량산출근거서!K150</f>
        <v>2.3E-2</v>
      </c>
      <c r="E309" s="11">
        <f>단가대비표!O171</f>
        <v>0</v>
      </c>
      <c r="F309" s="10">
        <f>TRUNC(E309*D309,2)</f>
        <v>0</v>
      </c>
      <c r="G309" s="11">
        <f>단가대비표!P171</f>
        <v>304156</v>
      </c>
      <c r="H309" s="10">
        <f>TRUNC(G309*D309,2)</f>
        <v>6995.58</v>
      </c>
      <c r="I309" s="11">
        <f>단가대비표!V171</f>
        <v>0</v>
      </c>
      <c r="J309" s="10">
        <f>TRUNC(I309*D309,2)</f>
        <v>0</v>
      </c>
      <c r="K309" s="11">
        <f t="shared" si="79"/>
        <v>304156</v>
      </c>
      <c r="L309" s="10">
        <f t="shared" si="79"/>
        <v>6995.58</v>
      </c>
      <c r="M309" s="5" t="s">
        <v>51</v>
      </c>
      <c r="N309" s="1" t="s">
        <v>262</v>
      </c>
      <c r="O309" s="1" t="s">
        <v>866</v>
      </c>
      <c r="P309" s="1" t="s">
        <v>60</v>
      </c>
      <c r="Q309" s="1" t="s">
        <v>60</v>
      </c>
      <c r="R309" s="1" t="s">
        <v>61</v>
      </c>
      <c r="W309">
        <v>2</v>
      </c>
      <c r="AV309" s="1" t="s">
        <v>51</v>
      </c>
      <c r="AW309" s="1" t="s">
        <v>1132</v>
      </c>
      <c r="AX309" s="1" t="s">
        <v>51</v>
      </c>
      <c r="AY309" s="1" t="s">
        <v>51</v>
      </c>
    </row>
    <row r="310" spans="1:51" ht="30" customHeight="1" x14ac:dyDescent="0.3">
      <c r="A310" s="5" t="s">
        <v>758</v>
      </c>
      <c r="B310" s="5" t="s">
        <v>759</v>
      </c>
      <c r="C310" s="5" t="s">
        <v>631</v>
      </c>
      <c r="D310" s="6">
        <v>1</v>
      </c>
      <c r="E310" s="11">
        <f>TRUNC(SUMIF(W306:W310, RIGHTB(O310, 1), H306:H310)*U310, 2)</f>
        <v>209.86</v>
      </c>
      <c r="F310" s="10">
        <f>TRUNC(E310*D310,2)</f>
        <v>209.86</v>
      </c>
      <c r="G310" s="11">
        <v>0</v>
      </c>
      <c r="H310" s="10">
        <f>TRUNC(G310*D310,2)</f>
        <v>0</v>
      </c>
      <c r="I310" s="11">
        <v>0</v>
      </c>
      <c r="J310" s="10">
        <f>TRUNC(I310*D310,2)</f>
        <v>0</v>
      </c>
      <c r="K310" s="11">
        <f t="shared" si="79"/>
        <v>209.86</v>
      </c>
      <c r="L310" s="10">
        <f t="shared" si="79"/>
        <v>209.86</v>
      </c>
      <c r="M310" s="5" t="s">
        <v>51</v>
      </c>
      <c r="N310" s="1" t="s">
        <v>262</v>
      </c>
      <c r="O310" s="1" t="s">
        <v>748</v>
      </c>
      <c r="P310" s="1" t="s">
        <v>60</v>
      </c>
      <c r="Q310" s="1" t="s">
        <v>60</v>
      </c>
      <c r="R310" s="1" t="s">
        <v>60</v>
      </c>
      <c r="S310">
        <v>1</v>
      </c>
      <c r="T310">
        <v>0</v>
      </c>
      <c r="U310">
        <v>0.03</v>
      </c>
      <c r="AV310" s="1" t="s">
        <v>51</v>
      </c>
      <c r="AW310" s="1" t="s">
        <v>1133</v>
      </c>
      <c r="AX310" s="1" t="s">
        <v>51</v>
      </c>
      <c r="AY310" s="1" t="s">
        <v>51</v>
      </c>
    </row>
    <row r="311" spans="1:51" ht="30" customHeight="1" x14ac:dyDescent="0.3">
      <c r="A311" s="5" t="s">
        <v>762</v>
      </c>
      <c r="B311" s="5" t="s">
        <v>51</v>
      </c>
      <c r="C311" s="5" t="s">
        <v>51</v>
      </c>
      <c r="D311" s="6"/>
      <c r="E311" s="11"/>
      <c r="F311" s="10">
        <f>TRUNC(SUMIF(N306:N310, N305, F306:F310),0)</f>
        <v>13533</v>
      </c>
      <c r="G311" s="11"/>
      <c r="H311" s="10">
        <f>TRUNC(SUMIF(N306:N310, N305, H306:H310),0)</f>
        <v>6995</v>
      </c>
      <c r="I311" s="11"/>
      <c r="J311" s="10">
        <f>TRUNC(SUMIF(N306:N310, N305, J306:J310),0)</f>
        <v>0</v>
      </c>
      <c r="K311" s="11"/>
      <c r="L311" s="10">
        <f>F311+H311+J311</f>
        <v>20528</v>
      </c>
      <c r="M311" s="5" t="s">
        <v>51</v>
      </c>
      <c r="N311" s="1" t="s">
        <v>208</v>
      </c>
      <c r="O311" s="1" t="s">
        <v>208</v>
      </c>
      <c r="P311" s="1" t="s">
        <v>51</v>
      </c>
      <c r="Q311" s="1" t="s">
        <v>51</v>
      </c>
      <c r="R311" s="1" t="s">
        <v>51</v>
      </c>
      <c r="AV311" s="1" t="s">
        <v>51</v>
      </c>
      <c r="AW311" s="1" t="s">
        <v>51</v>
      </c>
      <c r="AX311" s="1" t="s">
        <v>51</v>
      </c>
      <c r="AY311" s="1" t="s">
        <v>51</v>
      </c>
    </row>
    <row r="312" spans="1:51" ht="30" customHeight="1" x14ac:dyDescent="0.3">
      <c r="A312" s="6"/>
      <c r="B312" s="6"/>
      <c r="C312" s="6"/>
      <c r="D312" s="6"/>
      <c r="E312" s="11"/>
      <c r="F312" s="10"/>
      <c r="G312" s="11"/>
      <c r="H312" s="10"/>
      <c r="I312" s="11"/>
      <c r="J312" s="10"/>
      <c r="K312" s="11"/>
      <c r="L312" s="10"/>
      <c r="M312" s="6"/>
    </row>
    <row r="313" spans="1:51" ht="30" customHeight="1" x14ac:dyDescent="0.3">
      <c r="A313" s="37" t="s">
        <v>1134</v>
      </c>
      <c r="B313" s="37"/>
      <c r="C313" s="37"/>
      <c r="D313" s="37"/>
      <c r="E313" s="38"/>
      <c r="F313" s="39"/>
      <c r="G313" s="38"/>
      <c r="H313" s="39"/>
      <c r="I313" s="38"/>
      <c r="J313" s="39"/>
      <c r="K313" s="38"/>
      <c r="L313" s="39"/>
      <c r="M313" s="37"/>
      <c r="N313" s="1" t="s">
        <v>266</v>
      </c>
    </row>
    <row r="314" spans="1:51" ht="30" customHeight="1" x14ac:dyDescent="0.3">
      <c r="A314" s="5" t="s">
        <v>106</v>
      </c>
      <c r="B314" s="5" t="s">
        <v>1135</v>
      </c>
      <c r="C314" s="5" t="s">
        <v>65</v>
      </c>
      <c r="D314" s="6">
        <v>1</v>
      </c>
      <c r="E314" s="11">
        <f>단가대비표!O36</f>
        <v>12127</v>
      </c>
      <c r="F314" s="10">
        <f>TRUNC(E314*D314,2)</f>
        <v>12127</v>
      </c>
      <c r="G314" s="11">
        <f>단가대비표!P36</f>
        <v>0</v>
      </c>
      <c r="H314" s="10">
        <f>TRUNC(G314*D314,2)</f>
        <v>0</v>
      </c>
      <c r="I314" s="11">
        <f>단가대비표!V36</f>
        <v>0</v>
      </c>
      <c r="J314" s="10">
        <f>TRUNC(I314*D314,2)</f>
        <v>0</v>
      </c>
      <c r="K314" s="11">
        <f t="shared" ref="K314:L318" si="80">TRUNC(E314+G314+I314,2)</f>
        <v>12127</v>
      </c>
      <c r="L314" s="10">
        <f t="shared" si="80"/>
        <v>12127</v>
      </c>
      <c r="M314" s="5" t="s">
        <v>51</v>
      </c>
      <c r="N314" s="1" t="s">
        <v>266</v>
      </c>
      <c r="O314" s="1" t="s">
        <v>1136</v>
      </c>
      <c r="P314" s="1" t="s">
        <v>60</v>
      </c>
      <c r="Q314" s="1" t="s">
        <v>60</v>
      </c>
      <c r="R314" s="1" t="s">
        <v>61</v>
      </c>
      <c r="V314">
        <v>1</v>
      </c>
      <c r="AV314" s="1" t="s">
        <v>51</v>
      </c>
      <c r="AW314" s="1" t="s">
        <v>1137</v>
      </c>
      <c r="AX314" s="1" t="s">
        <v>51</v>
      </c>
      <c r="AY314" s="1" t="s">
        <v>51</v>
      </c>
    </row>
    <row r="315" spans="1:51" ht="30" customHeight="1" x14ac:dyDescent="0.3">
      <c r="A315" s="5" t="s">
        <v>106</v>
      </c>
      <c r="B315" s="5" t="s">
        <v>1135</v>
      </c>
      <c r="C315" s="5" t="s">
        <v>65</v>
      </c>
      <c r="D315" s="6">
        <v>0.05</v>
      </c>
      <c r="E315" s="11">
        <f>단가대비표!O36</f>
        <v>12127</v>
      </c>
      <c r="F315" s="10">
        <f>TRUNC(E315*D315,2)</f>
        <v>606.35</v>
      </c>
      <c r="G315" s="11">
        <f>단가대비표!P36</f>
        <v>0</v>
      </c>
      <c r="H315" s="10">
        <f>TRUNC(G315*D315,2)</f>
        <v>0</v>
      </c>
      <c r="I315" s="11">
        <f>단가대비표!V36</f>
        <v>0</v>
      </c>
      <c r="J315" s="10">
        <f>TRUNC(I315*D315,2)</f>
        <v>0</v>
      </c>
      <c r="K315" s="11">
        <f t="shared" si="80"/>
        <v>12127</v>
      </c>
      <c r="L315" s="10">
        <f t="shared" si="80"/>
        <v>606.35</v>
      </c>
      <c r="M315" s="5" t="s">
        <v>51</v>
      </c>
      <c r="N315" s="1" t="s">
        <v>266</v>
      </c>
      <c r="O315" s="1" t="s">
        <v>1136</v>
      </c>
      <c r="P315" s="1" t="s">
        <v>60</v>
      </c>
      <c r="Q315" s="1" t="s">
        <v>60</v>
      </c>
      <c r="R315" s="1" t="s">
        <v>61</v>
      </c>
      <c r="AV315" s="1" t="s">
        <v>51</v>
      </c>
      <c r="AW315" s="1" t="s">
        <v>1137</v>
      </c>
      <c r="AX315" s="1" t="s">
        <v>51</v>
      </c>
      <c r="AY315" s="1" t="s">
        <v>51</v>
      </c>
    </row>
    <row r="316" spans="1:51" ht="30" customHeight="1" x14ac:dyDescent="0.3">
      <c r="A316" s="5" t="s">
        <v>746</v>
      </c>
      <c r="B316" s="5" t="s">
        <v>747</v>
      </c>
      <c r="C316" s="5" t="s">
        <v>631</v>
      </c>
      <c r="D316" s="6">
        <v>1</v>
      </c>
      <c r="E316" s="11">
        <f>TRUNC(SUMIF(V314:V318, RIGHTB(O316, 1), F314:F318)*U316, 2)</f>
        <v>242.54</v>
      </c>
      <c r="F316" s="10">
        <f>TRUNC(E316*D316,2)</f>
        <v>242.54</v>
      </c>
      <c r="G316" s="11">
        <v>0</v>
      </c>
      <c r="H316" s="10">
        <f>TRUNC(G316*D316,2)</f>
        <v>0</v>
      </c>
      <c r="I316" s="11">
        <v>0</v>
      </c>
      <c r="J316" s="10">
        <f>TRUNC(I316*D316,2)</f>
        <v>0</v>
      </c>
      <c r="K316" s="11">
        <f t="shared" si="80"/>
        <v>242.54</v>
      </c>
      <c r="L316" s="10">
        <f t="shared" si="80"/>
        <v>242.54</v>
      </c>
      <c r="M316" s="5" t="s">
        <v>51</v>
      </c>
      <c r="N316" s="1" t="s">
        <v>266</v>
      </c>
      <c r="O316" s="1" t="s">
        <v>657</v>
      </c>
      <c r="P316" s="1" t="s">
        <v>60</v>
      </c>
      <c r="Q316" s="1" t="s">
        <v>60</v>
      </c>
      <c r="R316" s="1" t="s">
        <v>60</v>
      </c>
      <c r="S316">
        <v>0</v>
      </c>
      <c r="T316">
        <v>0</v>
      </c>
      <c r="U316">
        <v>0.02</v>
      </c>
      <c r="AV316" s="1" t="s">
        <v>51</v>
      </c>
      <c r="AW316" s="1" t="s">
        <v>1138</v>
      </c>
      <c r="AX316" s="1" t="s">
        <v>51</v>
      </c>
      <c r="AY316" s="1" t="s">
        <v>51</v>
      </c>
    </row>
    <row r="317" spans="1:51" ht="30" customHeight="1" x14ac:dyDescent="0.3">
      <c r="A317" s="5" t="s">
        <v>865</v>
      </c>
      <c r="B317" s="5" t="s">
        <v>751</v>
      </c>
      <c r="C317" s="5" t="s">
        <v>752</v>
      </c>
      <c r="D317" s="6">
        <f>공량산출근거서!K154</f>
        <v>5.7000000000000002E-2</v>
      </c>
      <c r="E317" s="11">
        <f>단가대비표!O171</f>
        <v>0</v>
      </c>
      <c r="F317" s="10">
        <f>TRUNC(E317*D317,2)</f>
        <v>0</v>
      </c>
      <c r="G317" s="11">
        <f>단가대비표!P171</f>
        <v>304156</v>
      </c>
      <c r="H317" s="10">
        <f>TRUNC(G317*D317,2)</f>
        <v>17336.89</v>
      </c>
      <c r="I317" s="11">
        <f>단가대비표!V171</f>
        <v>0</v>
      </c>
      <c r="J317" s="10">
        <f>TRUNC(I317*D317,2)</f>
        <v>0</v>
      </c>
      <c r="K317" s="11">
        <f t="shared" si="80"/>
        <v>304156</v>
      </c>
      <c r="L317" s="10">
        <f t="shared" si="80"/>
        <v>17336.89</v>
      </c>
      <c r="M317" s="5" t="s">
        <v>1139</v>
      </c>
      <c r="N317" s="1" t="s">
        <v>266</v>
      </c>
      <c r="O317" s="1" t="s">
        <v>866</v>
      </c>
      <c r="P317" s="1" t="s">
        <v>60</v>
      </c>
      <c r="Q317" s="1" t="s">
        <v>60</v>
      </c>
      <c r="R317" s="1" t="s">
        <v>61</v>
      </c>
      <c r="W317">
        <v>2</v>
      </c>
      <c r="AV317" s="1" t="s">
        <v>51</v>
      </c>
      <c r="AW317" s="1" t="s">
        <v>1140</v>
      </c>
      <c r="AX317" s="1" t="s">
        <v>51</v>
      </c>
      <c r="AY317" s="1" t="s">
        <v>51</v>
      </c>
    </row>
    <row r="318" spans="1:51" ht="30" customHeight="1" x14ac:dyDescent="0.3">
      <c r="A318" s="5" t="s">
        <v>758</v>
      </c>
      <c r="B318" s="5" t="s">
        <v>759</v>
      </c>
      <c r="C318" s="5" t="s">
        <v>631</v>
      </c>
      <c r="D318" s="6">
        <v>1</v>
      </c>
      <c r="E318" s="11">
        <f>TRUNC(SUMIF(W314:W318, RIGHTB(O318, 1), H314:H318)*U318, 2)</f>
        <v>520.1</v>
      </c>
      <c r="F318" s="10">
        <f>TRUNC(E318*D318,2)</f>
        <v>520.1</v>
      </c>
      <c r="G318" s="11">
        <v>0</v>
      </c>
      <c r="H318" s="10">
        <f>TRUNC(G318*D318,2)</f>
        <v>0</v>
      </c>
      <c r="I318" s="11">
        <v>0</v>
      </c>
      <c r="J318" s="10">
        <f>TRUNC(I318*D318,2)</f>
        <v>0</v>
      </c>
      <c r="K318" s="11">
        <f t="shared" si="80"/>
        <v>520.1</v>
      </c>
      <c r="L318" s="10">
        <f t="shared" si="80"/>
        <v>520.1</v>
      </c>
      <c r="M318" s="5" t="s">
        <v>51</v>
      </c>
      <c r="N318" s="1" t="s">
        <v>266</v>
      </c>
      <c r="O318" s="1" t="s">
        <v>748</v>
      </c>
      <c r="P318" s="1" t="s">
        <v>60</v>
      </c>
      <c r="Q318" s="1" t="s">
        <v>60</v>
      </c>
      <c r="R318" s="1" t="s">
        <v>60</v>
      </c>
      <c r="S318">
        <v>1</v>
      </c>
      <c r="T318">
        <v>0</v>
      </c>
      <c r="U318">
        <v>0.03</v>
      </c>
      <c r="AV318" s="1" t="s">
        <v>51</v>
      </c>
      <c r="AW318" s="1" t="s">
        <v>1141</v>
      </c>
      <c r="AX318" s="1" t="s">
        <v>51</v>
      </c>
      <c r="AY318" s="1" t="s">
        <v>51</v>
      </c>
    </row>
    <row r="319" spans="1:51" ht="30" customHeight="1" x14ac:dyDescent="0.3">
      <c r="A319" s="5" t="s">
        <v>762</v>
      </c>
      <c r="B319" s="5" t="s">
        <v>51</v>
      </c>
      <c r="C319" s="5" t="s">
        <v>51</v>
      </c>
      <c r="D319" s="6"/>
      <c r="E319" s="11"/>
      <c r="F319" s="10">
        <f>TRUNC(SUMIF(N314:N318, N313, F314:F318),0)</f>
        <v>13495</v>
      </c>
      <c r="G319" s="11"/>
      <c r="H319" s="10">
        <f>TRUNC(SUMIF(N314:N318, N313, H314:H318),0)</f>
        <v>17336</v>
      </c>
      <c r="I319" s="11"/>
      <c r="J319" s="10">
        <f>TRUNC(SUMIF(N314:N318, N313, J314:J318),0)</f>
        <v>0</v>
      </c>
      <c r="K319" s="11"/>
      <c r="L319" s="10">
        <f>F319+H319+J319</f>
        <v>30831</v>
      </c>
      <c r="M319" s="5" t="s">
        <v>51</v>
      </c>
      <c r="N319" s="1" t="s">
        <v>208</v>
      </c>
      <c r="O319" s="1" t="s">
        <v>208</v>
      </c>
      <c r="P319" s="1" t="s">
        <v>51</v>
      </c>
      <c r="Q319" s="1" t="s">
        <v>51</v>
      </c>
      <c r="R319" s="1" t="s">
        <v>51</v>
      </c>
      <c r="AV319" s="1" t="s">
        <v>51</v>
      </c>
      <c r="AW319" s="1" t="s">
        <v>51</v>
      </c>
      <c r="AX319" s="1" t="s">
        <v>51</v>
      </c>
      <c r="AY319" s="1" t="s">
        <v>51</v>
      </c>
    </row>
    <row r="320" spans="1:51" ht="30" customHeight="1" x14ac:dyDescent="0.3">
      <c r="A320" s="6"/>
      <c r="B320" s="6"/>
      <c r="C320" s="6"/>
      <c r="D320" s="6"/>
      <c r="E320" s="11"/>
      <c r="F320" s="10"/>
      <c r="G320" s="11"/>
      <c r="H320" s="10"/>
      <c r="I320" s="11"/>
      <c r="J320" s="10"/>
      <c r="K320" s="11"/>
      <c r="L320" s="10"/>
      <c r="M320" s="6"/>
    </row>
    <row r="321" spans="1:51" ht="30" customHeight="1" x14ac:dyDescent="0.3">
      <c r="A321" s="37" t="s">
        <v>1142</v>
      </c>
      <c r="B321" s="37"/>
      <c r="C321" s="37"/>
      <c r="D321" s="37"/>
      <c r="E321" s="38"/>
      <c r="F321" s="39"/>
      <c r="G321" s="38"/>
      <c r="H321" s="39"/>
      <c r="I321" s="38"/>
      <c r="J321" s="39"/>
      <c r="K321" s="38"/>
      <c r="L321" s="39"/>
      <c r="M321" s="37"/>
      <c r="N321" s="1" t="s">
        <v>270</v>
      </c>
    </row>
    <row r="322" spans="1:51" ht="30" customHeight="1" x14ac:dyDescent="0.3">
      <c r="A322" s="5" t="s">
        <v>183</v>
      </c>
      <c r="B322" s="5" t="s">
        <v>1143</v>
      </c>
      <c r="C322" s="5" t="s">
        <v>58</v>
      </c>
      <c r="D322" s="6">
        <v>1</v>
      </c>
      <c r="E322" s="11">
        <f>단가대비표!O92</f>
        <v>1210</v>
      </c>
      <c r="F322" s="10">
        <f>TRUNC(E322*D322,2)</f>
        <v>1210</v>
      </c>
      <c r="G322" s="11">
        <f>단가대비표!P92</f>
        <v>0</v>
      </c>
      <c r="H322" s="10">
        <f>TRUNC(G322*D322,2)</f>
        <v>0</v>
      </c>
      <c r="I322" s="11">
        <f>단가대비표!V92</f>
        <v>0</v>
      </c>
      <c r="J322" s="10">
        <f>TRUNC(I322*D322,2)</f>
        <v>0</v>
      </c>
      <c r="K322" s="11">
        <f t="shared" ref="K322:L324" si="81">TRUNC(E322+G322+I322,2)</f>
        <v>1210</v>
      </c>
      <c r="L322" s="10">
        <f t="shared" si="81"/>
        <v>1210</v>
      </c>
      <c r="M322" s="5" t="s">
        <v>51</v>
      </c>
      <c r="N322" s="1" t="s">
        <v>270</v>
      </c>
      <c r="O322" s="1" t="s">
        <v>1144</v>
      </c>
      <c r="P322" s="1" t="s">
        <v>60</v>
      </c>
      <c r="Q322" s="1" t="s">
        <v>60</v>
      </c>
      <c r="R322" s="1" t="s">
        <v>61</v>
      </c>
      <c r="AV322" s="1" t="s">
        <v>51</v>
      </c>
      <c r="AW322" s="1" t="s">
        <v>1145</v>
      </c>
      <c r="AX322" s="1" t="s">
        <v>51</v>
      </c>
      <c r="AY322" s="1" t="s">
        <v>51</v>
      </c>
    </row>
    <row r="323" spans="1:51" ht="30" customHeight="1" x14ac:dyDescent="0.3">
      <c r="A323" s="5" t="s">
        <v>865</v>
      </c>
      <c r="B323" s="5" t="s">
        <v>751</v>
      </c>
      <c r="C323" s="5" t="s">
        <v>752</v>
      </c>
      <c r="D323" s="6">
        <f>공량산출근거서!K157</f>
        <v>5.3999999999999999E-2</v>
      </c>
      <c r="E323" s="11">
        <f>단가대비표!O171</f>
        <v>0</v>
      </c>
      <c r="F323" s="10">
        <f>TRUNC(E323*D323,2)</f>
        <v>0</v>
      </c>
      <c r="G323" s="11">
        <f>단가대비표!P171</f>
        <v>304156</v>
      </c>
      <c r="H323" s="10">
        <f>TRUNC(G323*D323,2)</f>
        <v>16424.419999999998</v>
      </c>
      <c r="I323" s="11">
        <f>단가대비표!V171</f>
        <v>0</v>
      </c>
      <c r="J323" s="10">
        <f>TRUNC(I323*D323,2)</f>
        <v>0</v>
      </c>
      <c r="K323" s="11">
        <f t="shared" si="81"/>
        <v>304156</v>
      </c>
      <c r="L323" s="10">
        <f t="shared" si="81"/>
        <v>16424.419999999998</v>
      </c>
      <c r="M323" s="5" t="s">
        <v>51</v>
      </c>
      <c r="N323" s="1" t="s">
        <v>270</v>
      </c>
      <c r="O323" s="1" t="s">
        <v>866</v>
      </c>
      <c r="P323" s="1" t="s">
        <v>60</v>
      </c>
      <c r="Q323" s="1" t="s">
        <v>60</v>
      </c>
      <c r="R323" s="1" t="s">
        <v>61</v>
      </c>
      <c r="V323">
        <v>1</v>
      </c>
      <c r="AV323" s="1" t="s">
        <v>51</v>
      </c>
      <c r="AW323" s="1" t="s">
        <v>1146</v>
      </c>
      <c r="AX323" s="1" t="s">
        <v>51</v>
      </c>
      <c r="AY323" s="1" t="s">
        <v>51</v>
      </c>
    </row>
    <row r="324" spans="1:51" ht="30" customHeight="1" x14ac:dyDescent="0.3">
      <c r="A324" s="5" t="s">
        <v>758</v>
      </c>
      <c r="B324" s="5" t="s">
        <v>759</v>
      </c>
      <c r="C324" s="5" t="s">
        <v>631</v>
      </c>
      <c r="D324" s="6">
        <v>1</v>
      </c>
      <c r="E324" s="11">
        <f>TRUNC(SUMIF(V322:V324, RIGHTB(O324, 1), H322:H324)*U324, 2)</f>
        <v>492.73</v>
      </c>
      <c r="F324" s="10">
        <f>TRUNC(E324*D324,2)</f>
        <v>492.73</v>
      </c>
      <c r="G324" s="11">
        <v>0</v>
      </c>
      <c r="H324" s="10">
        <f>TRUNC(G324*D324,2)</f>
        <v>0</v>
      </c>
      <c r="I324" s="11">
        <v>0</v>
      </c>
      <c r="J324" s="10">
        <f>TRUNC(I324*D324,2)</f>
        <v>0</v>
      </c>
      <c r="K324" s="11">
        <f t="shared" si="81"/>
        <v>492.73</v>
      </c>
      <c r="L324" s="10">
        <f t="shared" si="81"/>
        <v>492.73</v>
      </c>
      <c r="M324" s="5" t="s">
        <v>51</v>
      </c>
      <c r="N324" s="1" t="s">
        <v>270</v>
      </c>
      <c r="O324" s="1" t="s">
        <v>657</v>
      </c>
      <c r="P324" s="1" t="s">
        <v>60</v>
      </c>
      <c r="Q324" s="1" t="s">
        <v>60</v>
      </c>
      <c r="R324" s="1" t="s">
        <v>60</v>
      </c>
      <c r="S324">
        <v>1</v>
      </c>
      <c r="T324">
        <v>0</v>
      </c>
      <c r="U324">
        <v>0.03</v>
      </c>
      <c r="AV324" s="1" t="s">
        <v>51</v>
      </c>
      <c r="AW324" s="1" t="s">
        <v>1147</v>
      </c>
      <c r="AX324" s="1" t="s">
        <v>51</v>
      </c>
      <c r="AY324" s="1" t="s">
        <v>51</v>
      </c>
    </row>
    <row r="325" spans="1:51" ht="30" customHeight="1" x14ac:dyDescent="0.3">
      <c r="A325" s="5" t="s">
        <v>762</v>
      </c>
      <c r="B325" s="5" t="s">
        <v>51</v>
      </c>
      <c r="C325" s="5" t="s">
        <v>51</v>
      </c>
      <c r="D325" s="6"/>
      <c r="E325" s="11"/>
      <c r="F325" s="10">
        <f>TRUNC(SUMIF(N322:N324, N321, F322:F324),0)</f>
        <v>1702</v>
      </c>
      <c r="G325" s="11"/>
      <c r="H325" s="10">
        <f>TRUNC(SUMIF(N322:N324, N321, H322:H324),0)</f>
        <v>16424</v>
      </c>
      <c r="I325" s="11"/>
      <c r="J325" s="10">
        <f>TRUNC(SUMIF(N322:N324, N321, J322:J324),0)</f>
        <v>0</v>
      </c>
      <c r="K325" s="11"/>
      <c r="L325" s="10">
        <f>F325+H325+J325</f>
        <v>18126</v>
      </c>
      <c r="M325" s="5" t="s">
        <v>51</v>
      </c>
      <c r="N325" s="1" t="s">
        <v>208</v>
      </c>
      <c r="O325" s="1" t="s">
        <v>208</v>
      </c>
      <c r="P325" s="1" t="s">
        <v>51</v>
      </c>
      <c r="Q325" s="1" t="s">
        <v>51</v>
      </c>
      <c r="R325" s="1" t="s">
        <v>51</v>
      </c>
      <c r="AV325" s="1" t="s">
        <v>51</v>
      </c>
      <c r="AW325" s="1" t="s">
        <v>51</v>
      </c>
      <c r="AX325" s="1" t="s">
        <v>51</v>
      </c>
      <c r="AY325" s="1" t="s">
        <v>51</v>
      </c>
    </row>
    <row r="326" spans="1:51" ht="30" customHeight="1" x14ac:dyDescent="0.3">
      <c r="A326" s="6"/>
      <c r="B326" s="6"/>
      <c r="C326" s="6"/>
      <c r="D326" s="6"/>
      <c r="E326" s="11"/>
      <c r="F326" s="10"/>
      <c r="G326" s="11"/>
      <c r="H326" s="10"/>
      <c r="I326" s="11"/>
      <c r="J326" s="10"/>
      <c r="K326" s="11"/>
      <c r="L326" s="10"/>
      <c r="M326" s="6"/>
    </row>
    <row r="327" spans="1:51" ht="30" customHeight="1" x14ac:dyDescent="0.3">
      <c r="A327" s="37" t="s">
        <v>1148</v>
      </c>
      <c r="B327" s="37"/>
      <c r="C327" s="37"/>
      <c r="D327" s="37"/>
      <c r="E327" s="38"/>
      <c r="F327" s="39"/>
      <c r="G327" s="38"/>
      <c r="H327" s="39"/>
      <c r="I327" s="38"/>
      <c r="J327" s="39"/>
      <c r="K327" s="38"/>
      <c r="L327" s="39"/>
      <c r="M327" s="37"/>
      <c r="N327" s="1" t="s">
        <v>274</v>
      </c>
    </row>
    <row r="328" spans="1:51" ht="30" customHeight="1" x14ac:dyDescent="0.3">
      <c r="A328" s="5" t="s">
        <v>183</v>
      </c>
      <c r="B328" s="5" t="s">
        <v>1149</v>
      </c>
      <c r="C328" s="5" t="s">
        <v>58</v>
      </c>
      <c r="D328" s="6">
        <v>1</v>
      </c>
      <c r="E328" s="11">
        <f>단가대비표!O94</f>
        <v>3520</v>
      </c>
      <c r="F328" s="10">
        <f>TRUNC(E328*D328,2)</f>
        <v>3520</v>
      </c>
      <c r="G328" s="11">
        <f>단가대비표!P94</f>
        <v>0</v>
      </c>
      <c r="H328" s="10">
        <f>TRUNC(G328*D328,2)</f>
        <v>0</v>
      </c>
      <c r="I328" s="11">
        <f>단가대비표!V94</f>
        <v>0</v>
      </c>
      <c r="J328" s="10">
        <f>TRUNC(I328*D328,2)</f>
        <v>0</v>
      </c>
      <c r="K328" s="11">
        <f t="shared" ref="K328:L330" si="82">TRUNC(E328+G328+I328,2)</f>
        <v>3520</v>
      </c>
      <c r="L328" s="10">
        <f t="shared" si="82"/>
        <v>3520</v>
      </c>
      <c r="M328" s="5" t="s">
        <v>51</v>
      </c>
      <c r="N328" s="1" t="s">
        <v>274</v>
      </c>
      <c r="O328" s="1" t="s">
        <v>1150</v>
      </c>
      <c r="P328" s="1" t="s">
        <v>60</v>
      </c>
      <c r="Q328" s="1" t="s">
        <v>60</v>
      </c>
      <c r="R328" s="1" t="s">
        <v>61</v>
      </c>
      <c r="AV328" s="1" t="s">
        <v>51</v>
      </c>
      <c r="AW328" s="1" t="s">
        <v>1151</v>
      </c>
      <c r="AX328" s="1" t="s">
        <v>51</v>
      </c>
      <c r="AY328" s="1" t="s">
        <v>51</v>
      </c>
    </row>
    <row r="329" spans="1:51" ht="30" customHeight="1" x14ac:dyDescent="0.3">
      <c r="A329" s="5" t="s">
        <v>865</v>
      </c>
      <c r="B329" s="5" t="s">
        <v>751</v>
      </c>
      <c r="C329" s="5" t="s">
        <v>752</v>
      </c>
      <c r="D329" s="6">
        <f>공량산출근거서!K160</f>
        <v>7.0499999999999993E-2</v>
      </c>
      <c r="E329" s="11">
        <f>단가대비표!O171</f>
        <v>0</v>
      </c>
      <c r="F329" s="10">
        <f>TRUNC(E329*D329,2)</f>
        <v>0</v>
      </c>
      <c r="G329" s="11">
        <f>단가대비표!P171</f>
        <v>304156</v>
      </c>
      <c r="H329" s="10">
        <f>TRUNC(G329*D329,2)</f>
        <v>21442.99</v>
      </c>
      <c r="I329" s="11">
        <f>단가대비표!V171</f>
        <v>0</v>
      </c>
      <c r="J329" s="10">
        <f>TRUNC(I329*D329,2)</f>
        <v>0</v>
      </c>
      <c r="K329" s="11">
        <f t="shared" si="82"/>
        <v>304156</v>
      </c>
      <c r="L329" s="10">
        <f t="shared" si="82"/>
        <v>21442.99</v>
      </c>
      <c r="M329" s="5" t="s">
        <v>51</v>
      </c>
      <c r="N329" s="1" t="s">
        <v>274</v>
      </c>
      <c r="O329" s="1" t="s">
        <v>866</v>
      </c>
      <c r="P329" s="1" t="s">
        <v>60</v>
      </c>
      <c r="Q329" s="1" t="s">
        <v>60</v>
      </c>
      <c r="R329" s="1" t="s">
        <v>61</v>
      </c>
      <c r="V329">
        <v>1</v>
      </c>
      <c r="AV329" s="1" t="s">
        <v>51</v>
      </c>
      <c r="AW329" s="1" t="s">
        <v>1152</v>
      </c>
      <c r="AX329" s="1" t="s">
        <v>51</v>
      </c>
      <c r="AY329" s="1" t="s">
        <v>51</v>
      </c>
    </row>
    <row r="330" spans="1:51" ht="30" customHeight="1" x14ac:dyDescent="0.3">
      <c r="A330" s="5" t="s">
        <v>758</v>
      </c>
      <c r="B330" s="5" t="s">
        <v>759</v>
      </c>
      <c r="C330" s="5" t="s">
        <v>631</v>
      </c>
      <c r="D330" s="6">
        <v>1</v>
      </c>
      <c r="E330" s="11">
        <f>TRUNC(SUMIF(V328:V330, RIGHTB(O330, 1), H328:H330)*U330, 2)</f>
        <v>643.28</v>
      </c>
      <c r="F330" s="10">
        <f>TRUNC(E330*D330,2)</f>
        <v>643.28</v>
      </c>
      <c r="G330" s="11">
        <v>0</v>
      </c>
      <c r="H330" s="10">
        <f>TRUNC(G330*D330,2)</f>
        <v>0</v>
      </c>
      <c r="I330" s="11">
        <v>0</v>
      </c>
      <c r="J330" s="10">
        <f>TRUNC(I330*D330,2)</f>
        <v>0</v>
      </c>
      <c r="K330" s="11">
        <f t="shared" si="82"/>
        <v>643.28</v>
      </c>
      <c r="L330" s="10">
        <f t="shared" si="82"/>
        <v>643.28</v>
      </c>
      <c r="M330" s="5" t="s">
        <v>51</v>
      </c>
      <c r="N330" s="1" t="s">
        <v>274</v>
      </c>
      <c r="O330" s="1" t="s">
        <v>657</v>
      </c>
      <c r="P330" s="1" t="s">
        <v>60</v>
      </c>
      <c r="Q330" s="1" t="s">
        <v>60</v>
      </c>
      <c r="R330" s="1" t="s">
        <v>60</v>
      </c>
      <c r="S330">
        <v>1</v>
      </c>
      <c r="T330">
        <v>0</v>
      </c>
      <c r="U330">
        <v>0.03</v>
      </c>
      <c r="AV330" s="1" t="s">
        <v>51</v>
      </c>
      <c r="AW330" s="1" t="s">
        <v>1153</v>
      </c>
      <c r="AX330" s="1" t="s">
        <v>51</v>
      </c>
      <c r="AY330" s="1" t="s">
        <v>51</v>
      </c>
    </row>
    <row r="331" spans="1:51" ht="30" customHeight="1" x14ac:dyDescent="0.3">
      <c r="A331" s="5" t="s">
        <v>762</v>
      </c>
      <c r="B331" s="5" t="s">
        <v>51</v>
      </c>
      <c r="C331" s="5" t="s">
        <v>51</v>
      </c>
      <c r="D331" s="6"/>
      <c r="E331" s="11"/>
      <c r="F331" s="10">
        <f>TRUNC(SUMIF(N328:N330, N327, F328:F330),0)</f>
        <v>4163</v>
      </c>
      <c r="G331" s="11"/>
      <c r="H331" s="10">
        <f>TRUNC(SUMIF(N328:N330, N327, H328:H330),0)</f>
        <v>21442</v>
      </c>
      <c r="I331" s="11"/>
      <c r="J331" s="10">
        <f>TRUNC(SUMIF(N328:N330, N327, J328:J330),0)</f>
        <v>0</v>
      </c>
      <c r="K331" s="11"/>
      <c r="L331" s="10">
        <f>F331+H331+J331</f>
        <v>25605</v>
      </c>
      <c r="M331" s="5" t="s">
        <v>51</v>
      </c>
      <c r="N331" s="1" t="s">
        <v>208</v>
      </c>
      <c r="O331" s="1" t="s">
        <v>208</v>
      </c>
      <c r="P331" s="1" t="s">
        <v>51</v>
      </c>
      <c r="Q331" s="1" t="s">
        <v>51</v>
      </c>
      <c r="R331" s="1" t="s">
        <v>51</v>
      </c>
      <c r="AV331" s="1" t="s">
        <v>51</v>
      </c>
      <c r="AW331" s="1" t="s">
        <v>51</v>
      </c>
      <c r="AX331" s="1" t="s">
        <v>51</v>
      </c>
      <c r="AY331" s="1" t="s">
        <v>51</v>
      </c>
    </row>
    <row r="332" spans="1:51" ht="30" customHeight="1" x14ac:dyDescent="0.3">
      <c r="A332" s="6"/>
      <c r="B332" s="6"/>
      <c r="C332" s="6"/>
      <c r="D332" s="6"/>
      <c r="E332" s="11"/>
      <c r="F332" s="10"/>
      <c r="G332" s="11"/>
      <c r="H332" s="10"/>
      <c r="I332" s="11"/>
      <c r="J332" s="10"/>
      <c r="K332" s="11"/>
      <c r="L332" s="10"/>
      <c r="M332" s="6"/>
    </row>
    <row r="333" spans="1:51" ht="30" customHeight="1" x14ac:dyDescent="0.3">
      <c r="A333" s="37" t="s">
        <v>1154</v>
      </c>
      <c r="B333" s="37"/>
      <c r="C333" s="37"/>
      <c r="D333" s="37"/>
      <c r="E333" s="38"/>
      <c r="F333" s="39"/>
      <c r="G333" s="38"/>
      <c r="H333" s="39"/>
      <c r="I333" s="38"/>
      <c r="J333" s="39"/>
      <c r="K333" s="38"/>
      <c r="L333" s="39"/>
      <c r="M333" s="37"/>
      <c r="N333" s="1" t="s">
        <v>287</v>
      </c>
    </row>
    <row r="334" spans="1:51" ht="30" customHeight="1" x14ac:dyDescent="0.3">
      <c r="A334" s="5" t="s">
        <v>1155</v>
      </c>
      <c r="B334" s="5" t="s">
        <v>1156</v>
      </c>
      <c r="C334" s="5" t="s">
        <v>65</v>
      </c>
      <c r="D334" s="6">
        <v>1</v>
      </c>
      <c r="E334" s="11">
        <f>단가대비표!O135</f>
        <v>160</v>
      </c>
      <c r="F334" s="10">
        <f t="shared" ref="F334:F339" si="83">TRUNC(E334*D334,2)</f>
        <v>160</v>
      </c>
      <c r="G334" s="11">
        <f>단가대비표!P135</f>
        <v>0</v>
      </c>
      <c r="H334" s="10">
        <f t="shared" ref="H334:H339" si="84">TRUNC(G334*D334,2)</f>
        <v>0</v>
      </c>
      <c r="I334" s="11">
        <f>단가대비표!V135</f>
        <v>0</v>
      </c>
      <c r="J334" s="10">
        <f t="shared" ref="J334:J339" si="85">TRUNC(I334*D334,2)</f>
        <v>0</v>
      </c>
      <c r="K334" s="11">
        <f t="shared" ref="K334:L339" si="86">TRUNC(E334+G334+I334,2)</f>
        <v>160</v>
      </c>
      <c r="L334" s="10">
        <f t="shared" si="86"/>
        <v>160</v>
      </c>
      <c r="M334" s="5" t="s">
        <v>51</v>
      </c>
      <c r="N334" s="1" t="s">
        <v>287</v>
      </c>
      <c r="O334" s="1" t="s">
        <v>1157</v>
      </c>
      <c r="P334" s="1" t="s">
        <v>60</v>
      </c>
      <c r="Q334" s="1" t="s">
        <v>60</v>
      </c>
      <c r="R334" s="1" t="s">
        <v>61</v>
      </c>
      <c r="V334">
        <v>1</v>
      </c>
      <c r="W334">
        <v>2</v>
      </c>
      <c r="AV334" s="1" t="s">
        <v>51</v>
      </c>
      <c r="AW334" s="1" t="s">
        <v>1158</v>
      </c>
      <c r="AX334" s="1" t="s">
        <v>51</v>
      </c>
      <c r="AY334" s="1" t="s">
        <v>51</v>
      </c>
    </row>
    <row r="335" spans="1:51" ht="30" customHeight="1" x14ac:dyDescent="0.3">
      <c r="A335" s="5" t="s">
        <v>1155</v>
      </c>
      <c r="B335" s="5" t="s">
        <v>1156</v>
      </c>
      <c r="C335" s="5" t="s">
        <v>65</v>
      </c>
      <c r="D335" s="6">
        <v>0.1</v>
      </c>
      <c r="E335" s="11">
        <f>단가대비표!O135</f>
        <v>160</v>
      </c>
      <c r="F335" s="10">
        <f t="shared" si="83"/>
        <v>16</v>
      </c>
      <c r="G335" s="11">
        <f>단가대비표!P135</f>
        <v>0</v>
      </c>
      <c r="H335" s="10">
        <f t="shared" si="84"/>
        <v>0</v>
      </c>
      <c r="I335" s="11">
        <f>단가대비표!V135</f>
        <v>0</v>
      </c>
      <c r="J335" s="10">
        <f t="shared" si="85"/>
        <v>0</v>
      </c>
      <c r="K335" s="11">
        <f t="shared" si="86"/>
        <v>160</v>
      </c>
      <c r="L335" s="10">
        <f t="shared" si="86"/>
        <v>16</v>
      </c>
      <c r="M335" s="5" t="s">
        <v>51</v>
      </c>
      <c r="N335" s="1" t="s">
        <v>287</v>
      </c>
      <c r="O335" s="1" t="s">
        <v>1157</v>
      </c>
      <c r="P335" s="1" t="s">
        <v>60</v>
      </c>
      <c r="Q335" s="1" t="s">
        <v>60</v>
      </c>
      <c r="R335" s="1" t="s">
        <v>61</v>
      </c>
      <c r="V335">
        <v>1</v>
      </c>
      <c r="AV335" s="1" t="s">
        <v>51</v>
      </c>
      <c r="AW335" s="1" t="s">
        <v>1158</v>
      </c>
      <c r="AX335" s="1" t="s">
        <v>51</v>
      </c>
      <c r="AY335" s="1" t="s">
        <v>51</v>
      </c>
    </row>
    <row r="336" spans="1:51" ht="30" customHeight="1" x14ac:dyDescent="0.3">
      <c r="A336" s="5" t="s">
        <v>746</v>
      </c>
      <c r="B336" s="5" t="s">
        <v>786</v>
      </c>
      <c r="C336" s="5" t="s">
        <v>631</v>
      </c>
      <c r="D336" s="6">
        <v>1</v>
      </c>
      <c r="E336" s="11">
        <f>TRUNC(SUMIF(V334:V339, RIGHTB(O336, 1), F334:F339)*U336, 2)</f>
        <v>3.52</v>
      </c>
      <c r="F336" s="10">
        <f t="shared" si="83"/>
        <v>3.52</v>
      </c>
      <c r="G336" s="11">
        <v>0</v>
      </c>
      <c r="H336" s="10">
        <f t="shared" si="84"/>
        <v>0</v>
      </c>
      <c r="I336" s="11">
        <v>0</v>
      </c>
      <c r="J336" s="10">
        <f t="shared" si="85"/>
        <v>0</v>
      </c>
      <c r="K336" s="11">
        <f t="shared" si="86"/>
        <v>3.52</v>
      </c>
      <c r="L336" s="10">
        <f t="shared" si="86"/>
        <v>3.52</v>
      </c>
      <c r="M336" s="5" t="s">
        <v>51</v>
      </c>
      <c r="N336" s="1" t="s">
        <v>287</v>
      </c>
      <c r="O336" s="1" t="s">
        <v>657</v>
      </c>
      <c r="P336" s="1" t="s">
        <v>60</v>
      </c>
      <c r="Q336" s="1" t="s">
        <v>60</v>
      </c>
      <c r="R336" s="1" t="s">
        <v>60</v>
      </c>
      <c r="S336">
        <v>0</v>
      </c>
      <c r="T336">
        <v>0</v>
      </c>
      <c r="U336">
        <v>0.02</v>
      </c>
      <c r="AV336" s="1" t="s">
        <v>51</v>
      </c>
      <c r="AW336" s="1" t="s">
        <v>1159</v>
      </c>
      <c r="AX336" s="1" t="s">
        <v>51</v>
      </c>
      <c r="AY336" s="1" t="s">
        <v>51</v>
      </c>
    </row>
    <row r="337" spans="1:51" ht="30" customHeight="1" x14ac:dyDescent="0.3">
      <c r="A337" s="5" t="s">
        <v>743</v>
      </c>
      <c r="B337" s="5" t="s">
        <v>1160</v>
      </c>
      <c r="C337" s="5" t="s">
        <v>631</v>
      </c>
      <c r="D337" s="6">
        <v>1</v>
      </c>
      <c r="E337" s="11">
        <f>TRUNC(SUMIF(W334:W339, RIGHTB(O337, 1), F334:F339)*U337, 2)</f>
        <v>64</v>
      </c>
      <c r="F337" s="10">
        <f t="shared" si="83"/>
        <v>64</v>
      </c>
      <c r="G337" s="11">
        <v>0</v>
      </c>
      <c r="H337" s="10">
        <f t="shared" si="84"/>
        <v>0</v>
      </c>
      <c r="I337" s="11">
        <v>0</v>
      </c>
      <c r="J337" s="10">
        <f t="shared" si="85"/>
        <v>0</v>
      </c>
      <c r="K337" s="11">
        <f t="shared" si="86"/>
        <v>64</v>
      </c>
      <c r="L337" s="10">
        <f t="shared" si="86"/>
        <v>64</v>
      </c>
      <c r="M337" s="5" t="s">
        <v>51</v>
      </c>
      <c r="N337" s="1" t="s">
        <v>287</v>
      </c>
      <c r="O337" s="1" t="s">
        <v>748</v>
      </c>
      <c r="P337" s="1" t="s">
        <v>60</v>
      </c>
      <c r="Q337" s="1" t="s">
        <v>60</v>
      </c>
      <c r="R337" s="1" t="s">
        <v>60</v>
      </c>
      <c r="S337">
        <v>0</v>
      </c>
      <c r="T337">
        <v>0</v>
      </c>
      <c r="U337">
        <v>0.4</v>
      </c>
      <c r="AV337" s="1" t="s">
        <v>51</v>
      </c>
      <c r="AW337" s="1" t="s">
        <v>1161</v>
      </c>
      <c r="AX337" s="1" t="s">
        <v>51</v>
      </c>
      <c r="AY337" s="1" t="s">
        <v>51</v>
      </c>
    </row>
    <row r="338" spans="1:51" ht="30" customHeight="1" x14ac:dyDescent="0.3">
      <c r="A338" s="5" t="s">
        <v>769</v>
      </c>
      <c r="B338" s="5" t="s">
        <v>751</v>
      </c>
      <c r="C338" s="5" t="s">
        <v>752</v>
      </c>
      <c r="D338" s="6">
        <f>공량산출근거서!K164</f>
        <v>3.5999999999999997E-2</v>
      </c>
      <c r="E338" s="11">
        <f>단가대비표!O169</f>
        <v>0</v>
      </c>
      <c r="F338" s="10">
        <f t="shared" si="83"/>
        <v>0</v>
      </c>
      <c r="G338" s="11">
        <f>단가대비표!P169</f>
        <v>273676</v>
      </c>
      <c r="H338" s="10">
        <f t="shared" si="84"/>
        <v>9852.33</v>
      </c>
      <c r="I338" s="11">
        <f>단가대비표!V169</f>
        <v>0</v>
      </c>
      <c r="J338" s="10">
        <f t="shared" si="85"/>
        <v>0</v>
      </c>
      <c r="K338" s="11">
        <f t="shared" si="86"/>
        <v>273676</v>
      </c>
      <c r="L338" s="10">
        <f t="shared" si="86"/>
        <v>9852.33</v>
      </c>
      <c r="M338" s="5" t="s">
        <v>51</v>
      </c>
      <c r="N338" s="1" t="s">
        <v>287</v>
      </c>
      <c r="O338" s="1" t="s">
        <v>770</v>
      </c>
      <c r="P338" s="1" t="s">
        <v>60</v>
      </c>
      <c r="Q338" s="1" t="s">
        <v>60</v>
      </c>
      <c r="R338" s="1" t="s">
        <v>61</v>
      </c>
      <c r="X338">
        <v>3</v>
      </c>
      <c r="AV338" s="1" t="s">
        <v>51</v>
      </c>
      <c r="AW338" s="1" t="s">
        <v>1162</v>
      </c>
      <c r="AX338" s="1" t="s">
        <v>51</v>
      </c>
      <c r="AY338" s="1" t="s">
        <v>51</v>
      </c>
    </row>
    <row r="339" spans="1:51" ht="30" customHeight="1" x14ac:dyDescent="0.3">
      <c r="A339" s="5" t="s">
        <v>758</v>
      </c>
      <c r="B339" s="5" t="s">
        <v>759</v>
      </c>
      <c r="C339" s="5" t="s">
        <v>631</v>
      </c>
      <c r="D339" s="6">
        <v>1</v>
      </c>
      <c r="E339" s="11">
        <f>TRUNC(SUMIF(X334:X339, RIGHTB(O339, 1), H334:H339)*U339, 2)</f>
        <v>295.56</v>
      </c>
      <c r="F339" s="10">
        <f t="shared" si="83"/>
        <v>295.56</v>
      </c>
      <c r="G339" s="11">
        <v>0</v>
      </c>
      <c r="H339" s="10">
        <f t="shared" si="84"/>
        <v>0</v>
      </c>
      <c r="I339" s="11">
        <v>0</v>
      </c>
      <c r="J339" s="10">
        <f t="shared" si="85"/>
        <v>0</v>
      </c>
      <c r="K339" s="11">
        <f t="shared" si="86"/>
        <v>295.56</v>
      </c>
      <c r="L339" s="10">
        <f t="shared" si="86"/>
        <v>295.56</v>
      </c>
      <c r="M339" s="5" t="s">
        <v>51</v>
      </c>
      <c r="N339" s="1" t="s">
        <v>287</v>
      </c>
      <c r="O339" s="1" t="s">
        <v>760</v>
      </c>
      <c r="P339" s="1" t="s">
        <v>60</v>
      </c>
      <c r="Q339" s="1" t="s">
        <v>60</v>
      </c>
      <c r="R339" s="1" t="s">
        <v>60</v>
      </c>
      <c r="S339">
        <v>1</v>
      </c>
      <c r="T339">
        <v>0</v>
      </c>
      <c r="U339">
        <v>0.03</v>
      </c>
      <c r="AV339" s="1" t="s">
        <v>51</v>
      </c>
      <c r="AW339" s="1" t="s">
        <v>1163</v>
      </c>
      <c r="AX339" s="1" t="s">
        <v>51</v>
      </c>
      <c r="AY339" s="1" t="s">
        <v>51</v>
      </c>
    </row>
    <row r="340" spans="1:51" ht="30" customHeight="1" x14ac:dyDescent="0.3">
      <c r="A340" s="5" t="s">
        <v>762</v>
      </c>
      <c r="B340" s="5" t="s">
        <v>51</v>
      </c>
      <c r="C340" s="5" t="s">
        <v>51</v>
      </c>
      <c r="D340" s="6"/>
      <c r="E340" s="11"/>
      <c r="F340" s="10">
        <f>TRUNC(SUMIF(N334:N339, N333, F334:F339),0)</f>
        <v>539</v>
      </c>
      <c r="G340" s="11"/>
      <c r="H340" s="10">
        <f>TRUNC(SUMIF(N334:N339, N333, H334:H339),0)</f>
        <v>9852</v>
      </c>
      <c r="I340" s="11"/>
      <c r="J340" s="10">
        <f>TRUNC(SUMIF(N334:N339, N333, J334:J339),0)</f>
        <v>0</v>
      </c>
      <c r="K340" s="11"/>
      <c r="L340" s="10">
        <f>F340+H340+J340</f>
        <v>10391</v>
      </c>
      <c r="M340" s="5" t="s">
        <v>51</v>
      </c>
      <c r="N340" s="1" t="s">
        <v>208</v>
      </c>
      <c r="O340" s="1" t="s">
        <v>208</v>
      </c>
      <c r="P340" s="1" t="s">
        <v>51</v>
      </c>
      <c r="Q340" s="1" t="s">
        <v>51</v>
      </c>
      <c r="R340" s="1" t="s">
        <v>51</v>
      </c>
      <c r="AV340" s="1" t="s">
        <v>51</v>
      </c>
      <c r="AW340" s="1" t="s">
        <v>51</v>
      </c>
      <c r="AX340" s="1" t="s">
        <v>51</v>
      </c>
      <c r="AY340" s="1" t="s">
        <v>51</v>
      </c>
    </row>
    <row r="341" spans="1:51" ht="30" customHeight="1" x14ac:dyDescent="0.3">
      <c r="A341" s="6"/>
      <c r="B341" s="6"/>
      <c r="C341" s="6"/>
      <c r="D341" s="6"/>
      <c r="E341" s="11"/>
      <c r="F341" s="10"/>
      <c r="G341" s="11"/>
      <c r="H341" s="10"/>
      <c r="I341" s="11"/>
      <c r="J341" s="10"/>
      <c r="K341" s="11"/>
      <c r="L341" s="10"/>
      <c r="M341" s="6"/>
    </row>
    <row r="342" spans="1:51" ht="30" customHeight="1" x14ac:dyDescent="0.3">
      <c r="A342" s="37" t="s">
        <v>1164</v>
      </c>
      <c r="B342" s="37"/>
      <c r="C342" s="37"/>
      <c r="D342" s="37"/>
      <c r="E342" s="38"/>
      <c r="F342" s="39"/>
      <c r="G342" s="38"/>
      <c r="H342" s="39"/>
      <c r="I342" s="38"/>
      <c r="J342" s="39"/>
      <c r="K342" s="38"/>
      <c r="L342" s="39"/>
      <c r="M342" s="37"/>
      <c r="N342" s="1" t="s">
        <v>292</v>
      </c>
    </row>
    <row r="343" spans="1:51" ht="30" customHeight="1" x14ac:dyDescent="0.3">
      <c r="A343" s="5" t="s">
        <v>289</v>
      </c>
      <c r="B343" s="5" t="s">
        <v>1165</v>
      </c>
      <c r="C343" s="5" t="s">
        <v>58</v>
      </c>
      <c r="D343" s="6">
        <v>1</v>
      </c>
      <c r="E343" s="11">
        <f>단가대비표!O77</f>
        <v>591</v>
      </c>
      <c r="F343" s="10">
        <f>TRUNC(E343*D343,2)</f>
        <v>591</v>
      </c>
      <c r="G343" s="11">
        <f>단가대비표!P77</f>
        <v>0</v>
      </c>
      <c r="H343" s="10">
        <f>TRUNC(G343*D343,2)</f>
        <v>0</v>
      </c>
      <c r="I343" s="11">
        <f>단가대비표!V77</f>
        <v>0</v>
      </c>
      <c r="J343" s="10">
        <f>TRUNC(I343*D343,2)</f>
        <v>0</v>
      </c>
      <c r="K343" s="11">
        <f t="shared" ref="K343:L345" si="87">TRUNC(E343+G343+I343,2)</f>
        <v>591</v>
      </c>
      <c r="L343" s="10">
        <f t="shared" si="87"/>
        <v>591</v>
      </c>
      <c r="M343" s="5" t="s">
        <v>51</v>
      </c>
      <c r="N343" s="1" t="s">
        <v>292</v>
      </c>
      <c r="O343" s="1" t="s">
        <v>1166</v>
      </c>
      <c r="P343" s="1" t="s">
        <v>60</v>
      </c>
      <c r="Q343" s="1" t="s">
        <v>60</v>
      </c>
      <c r="R343" s="1" t="s">
        <v>61</v>
      </c>
      <c r="AV343" s="1" t="s">
        <v>51</v>
      </c>
      <c r="AW343" s="1" t="s">
        <v>1167</v>
      </c>
      <c r="AX343" s="1" t="s">
        <v>51</v>
      </c>
      <c r="AY343" s="1" t="s">
        <v>51</v>
      </c>
    </row>
    <row r="344" spans="1:51" ht="30" customHeight="1" x14ac:dyDescent="0.3">
      <c r="A344" s="5" t="s">
        <v>769</v>
      </c>
      <c r="B344" s="5" t="s">
        <v>751</v>
      </c>
      <c r="C344" s="5" t="s">
        <v>752</v>
      </c>
      <c r="D344" s="6">
        <f>공량산출근거서!K167</f>
        <v>0.108</v>
      </c>
      <c r="E344" s="11">
        <f>단가대비표!O169</f>
        <v>0</v>
      </c>
      <c r="F344" s="10">
        <f>TRUNC(E344*D344,2)</f>
        <v>0</v>
      </c>
      <c r="G344" s="11">
        <f>단가대비표!P169</f>
        <v>273676</v>
      </c>
      <c r="H344" s="10">
        <f>TRUNC(G344*D344,2)</f>
        <v>29557</v>
      </c>
      <c r="I344" s="11">
        <f>단가대비표!V169</f>
        <v>0</v>
      </c>
      <c r="J344" s="10">
        <f>TRUNC(I344*D344,2)</f>
        <v>0</v>
      </c>
      <c r="K344" s="11">
        <f t="shared" si="87"/>
        <v>273676</v>
      </c>
      <c r="L344" s="10">
        <f t="shared" si="87"/>
        <v>29557</v>
      </c>
      <c r="M344" s="5" t="s">
        <v>51</v>
      </c>
      <c r="N344" s="1" t="s">
        <v>292</v>
      </c>
      <c r="O344" s="1" t="s">
        <v>770</v>
      </c>
      <c r="P344" s="1" t="s">
        <v>60</v>
      </c>
      <c r="Q344" s="1" t="s">
        <v>60</v>
      </c>
      <c r="R344" s="1" t="s">
        <v>61</v>
      </c>
      <c r="V344">
        <v>1</v>
      </c>
      <c r="AV344" s="1" t="s">
        <v>51</v>
      </c>
      <c r="AW344" s="1" t="s">
        <v>1168</v>
      </c>
      <c r="AX344" s="1" t="s">
        <v>51</v>
      </c>
      <c r="AY344" s="1" t="s">
        <v>51</v>
      </c>
    </row>
    <row r="345" spans="1:51" ht="30" customHeight="1" x14ac:dyDescent="0.3">
      <c r="A345" s="5" t="s">
        <v>758</v>
      </c>
      <c r="B345" s="5" t="s">
        <v>759</v>
      </c>
      <c r="C345" s="5" t="s">
        <v>631</v>
      </c>
      <c r="D345" s="6">
        <v>1</v>
      </c>
      <c r="E345" s="11">
        <f>TRUNC(SUMIF(V343:V345, RIGHTB(O345, 1), H343:H345)*U345, 2)</f>
        <v>886.71</v>
      </c>
      <c r="F345" s="10">
        <f>TRUNC(E345*D345,2)</f>
        <v>886.71</v>
      </c>
      <c r="G345" s="11">
        <v>0</v>
      </c>
      <c r="H345" s="10">
        <f>TRUNC(G345*D345,2)</f>
        <v>0</v>
      </c>
      <c r="I345" s="11">
        <v>0</v>
      </c>
      <c r="J345" s="10">
        <f>TRUNC(I345*D345,2)</f>
        <v>0</v>
      </c>
      <c r="K345" s="11">
        <f t="shared" si="87"/>
        <v>886.71</v>
      </c>
      <c r="L345" s="10">
        <f t="shared" si="87"/>
        <v>886.71</v>
      </c>
      <c r="M345" s="5" t="s">
        <v>51</v>
      </c>
      <c r="N345" s="1" t="s">
        <v>292</v>
      </c>
      <c r="O345" s="1" t="s">
        <v>657</v>
      </c>
      <c r="P345" s="1" t="s">
        <v>60</v>
      </c>
      <c r="Q345" s="1" t="s">
        <v>60</v>
      </c>
      <c r="R345" s="1" t="s">
        <v>60</v>
      </c>
      <c r="S345">
        <v>1</v>
      </c>
      <c r="T345">
        <v>0</v>
      </c>
      <c r="U345">
        <v>0.03</v>
      </c>
      <c r="AV345" s="1" t="s">
        <v>51</v>
      </c>
      <c r="AW345" s="1" t="s">
        <v>1169</v>
      </c>
      <c r="AX345" s="1" t="s">
        <v>51</v>
      </c>
      <c r="AY345" s="1" t="s">
        <v>51</v>
      </c>
    </row>
    <row r="346" spans="1:51" ht="30" customHeight="1" x14ac:dyDescent="0.3">
      <c r="A346" s="5" t="s">
        <v>762</v>
      </c>
      <c r="B346" s="5" t="s">
        <v>51</v>
      </c>
      <c r="C346" s="5" t="s">
        <v>51</v>
      </c>
      <c r="D346" s="6"/>
      <c r="E346" s="11"/>
      <c r="F346" s="10">
        <f>TRUNC(SUMIF(N343:N345, N342, F343:F345),0)</f>
        <v>1477</v>
      </c>
      <c r="G346" s="11"/>
      <c r="H346" s="10">
        <f>TRUNC(SUMIF(N343:N345, N342, H343:H345),0)</f>
        <v>29557</v>
      </c>
      <c r="I346" s="11"/>
      <c r="J346" s="10">
        <f>TRUNC(SUMIF(N343:N345, N342, J343:J345),0)</f>
        <v>0</v>
      </c>
      <c r="K346" s="11"/>
      <c r="L346" s="10">
        <f>F346+H346+J346</f>
        <v>31034</v>
      </c>
      <c r="M346" s="5" t="s">
        <v>51</v>
      </c>
      <c r="N346" s="1" t="s">
        <v>208</v>
      </c>
      <c r="O346" s="1" t="s">
        <v>208</v>
      </c>
      <c r="P346" s="1" t="s">
        <v>51</v>
      </c>
      <c r="Q346" s="1" t="s">
        <v>51</v>
      </c>
      <c r="R346" s="1" t="s">
        <v>51</v>
      </c>
      <c r="AV346" s="1" t="s">
        <v>51</v>
      </c>
      <c r="AW346" s="1" t="s">
        <v>51</v>
      </c>
      <c r="AX346" s="1" t="s">
        <v>51</v>
      </c>
      <c r="AY346" s="1" t="s">
        <v>51</v>
      </c>
    </row>
    <row r="347" spans="1:51" ht="30" customHeight="1" x14ac:dyDescent="0.3">
      <c r="A347" s="6"/>
      <c r="B347" s="6"/>
      <c r="C347" s="6"/>
      <c r="D347" s="6"/>
      <c r="E347" s="11"/>
      <c r="F347" s="10"/>
      <c r="G347" s="11"/>
      <c r="H347" s="10"/>
      <c r="I347" s="11"/>
      <c r="J347" s="10"/>
      <c r="K347" s="11"/>
      <c r="L347" s="10"/>
      <c r="M347" s="6"/>
    </row>
    <row r="348" spans="1:51" ht="30" customHeight="1" x14ac:dyDescent="0.3">
      <c r="A348" s="37" t="s">
        <v>1170</v>
      </c>
      <c r="B348" s="37"/>
      <c r="C348" s="37"/>
      <c r="D348" s="37"/>
      <c r="E348" s="38"/>
      <c r="F348" s="39"/>
      <c r="G348" s="38"/>
      <c r="H348" s="39"/>
      <c r="I348" s="38"/>
      <c r="J348" s="39"/>
      <c r="K348" s="38"/>
      <c r="L348" s="39"/>
      <c r="M348" s="37"/>
      <c r="N348" s="1" t="s">
        <v>297</v>
      </c>
    </row>
    <row r="349" spans="1:51" ht="30" customHeight="1" x14ac:dyDescent="0.3">
      <c r="A349" s="5" t="s">
        <v>1171</v>
      </c>
      <c r="B349" s="5" t="s">
        <v>1172</v>
      </c>
      <c r="C349" s="5" t="s">
        <v>58</v>
      </c>
      <c r="D349" s="6">
        <v>1</v>
      </c>
      <c r="E349" s="11">
        <f>단가대비표!O79</f>
        <v>3100</v>
      </c>
      <c r="F349" s="10">
        <f>TRUNC(E349*D349,2)</f>
        <v>3100</v>
      </c>
      <c r="G349" s="11">
        <f>단가대비표!P79</f>
        <v>0</v>
      </c>
      <c r="H349" s="10">
        <f>TRUNC(G349*D349,2)</f>
        <v>0</v>
      </c>
      <c r="I349" s="11">
        <f>단가대비표!V79</f>
        <v>0</v>
      </c>
      <c r="J349" s="10">
        <f>TRUNC(I349*D349,2)</f>
        <v>0</v>
      </c>
      <c r="K349" s="11">
        <f t="shared" ref="K349:L351" si="88">TRUNC(E349+G349+I349,2)</f>
        <v>3100</v>
      </c>
      <c r="L349" s="10">
        <f t="shared" si="88"/>
        <v>3100</v>
      </c>
      <c r="M349" s="5" t="s">
        <v>51</v>
      </c>
      <c r="N349" s="1" t="s">
        <v>297</v>
      </c>
      <c r="O349" s="1" t="s">
        <v>1173</v>
      </c>
      <c r="P349" s="1" t="s">
        <v>60</v>
      </c>
      <c r="Q349" s="1" t="s">
        <v>60</v>
      </c>
      <c r="R349" s="1" t="s">
        <v>61</v>
      </c>
      <c r="AV349" s="1" t="s">
        <v>51</v>
      </c>
      <c r="AW349" s="1" t="s">
        <v>1174</v>
      </c>
      <c r="AX349" s="1" t="s">
        <v>51</v>
      </c>
      <c r="AY349" s="1" t="s">
        <v>51</v>
      </c>
    </row>
    <row r="350" spans="1:51" ht="30" customHeight="1" x14ac:dyDescent="0.3">
      <c r="A350" s="5" t="s">
        <v>769</v>
      </c>
      <c r="B350" s="5" t="s">
        <v>751</v>
      </c>
      <c r="C350" s="5" t="s">
        <v>752</v>
      </c>
      <c r="D350" s="6">
        <f>공량산출근거서!K170</f>
        <v>0.108</v>
      </c>
      <c r="E350" s="11">
        <f>단가대비표!O169</f>
        <v>0</v>
      </c>
      <c r="F350" s="10">
        <f>TRUNC(E350*D350,2)</f>
        <v>0</v>
      </c>
      <c r="G350" s="11">
        <f>단가대비표!P169</f>
        <v>273676</v>
      </c>
      <c r="H350" s="10">
        <f>TRUNC(G350*D350,2)</f>
        <v>29557</v>
      </c>
      <c r="I350" s="11">
        <f>단가대비표!V169</f>
        <v>0</v>
      </c>
      <c r="J350" s="10">
        <f>TRUNC(I350*D350,2)</f>
        <v>0</v>
      </c>
      <c r="K350" s="11">
        <f t="shared" si="88"/>
        <v>273676</v>
      </c>
      <c r="L350" s="10">
        <f t="shared" si="88"/>
        <v>29557</v>
      </c>
      <c r="M350" s="5" t="s">
        <v>51</v>
      </c>
      <c r="N350" s="1" t="s">
        <v>297</v>
      </c>
      <c r="O350" s="1" t="s">
        <v>770</v>
      </c>
      <c r="P350" s="1" t="s">
        <v>60</v>
      </c>
      <c r="Q350" s="1" t="s">
        <v>60</v>
      </c>
      <c r="R350" s="1" t="s">
        <v>61</v>
      </c>
      <c r="V350">
        <v>1</v>
      </c>
      <c r="AV350" s="1" t="s">
        <v>51</v>
      </c>
      <c r="AW350" s="1" t="s">
        <v>1175</v>
      </c>
      <c r="AX350" s="1" t="s">
        <v>51</v>
      </c>
      <c r="AY350" s="1" t="s">
        <v>51</v>
      </c>
    </row>
    <row r="351" spans="1:51" ht="30" customHeight="1" x14ac:dyDescent="0.3">
      <c r="A351" s="5" t="s">
        <v>758</v>
      </c>
      <c r="B351" s="5" t="s">
        <v>759</v>
      </c>
      <c r="C351" s="5" t="s">
        <v>631</v>
      </c>
      <c r="D351" s="6">
        <v>1</v>
      </c>
      <c r="E351" s="11">
        <f>TRUNC(SUMIF(V349:V351, RIGHTB(O351, 1), H349:H351)*U351, 2)</f>
        <v>886.71</v>
      </c>
      <c r="F351" s="10">
        <f>TRUNC(E351*D351,2)</f>
        <v>886.71</v>
      </c>
      <c r="G351" s="11">
        <v>0</v>
      </c>
      <c r="H351" s="10">
        <f>TRUNC(G351*D351,2)</f>
        <v>0</v>
      </c>
      <c r="I351" s="11">
        <v>0</v>
      </c>
      <c r="J351" s="10">
        <f>TRUNC(I351*D351,2)</f>
        <v>0</v>
      </c>
      <c r="K351" s="11">
        <f t="shared" si="88"/>
        <v>886.71</v>
      </c>
      <c r="L351" s="10">
        <f t="shared" si="88"/>
        <v>886.71</v>
      </c>
      <c r="M351" s="5" t="s">
        <v>51</v>
      </c>
      <c r="N351" s="1" t="s">
        <v>297</v>
      </c>
      <c r="O351" s="1" t="s">
        <v>657</v>
      </c>
      <c r="P351" s="1" t="s">
        <v>60</v>
      </c>
      <c r="Q351" s="1" t="s">
        <v>60</v>
      </c>
      <c r="R351" s="1" t="s">
        <v>60</v>
      </c>
      <c r="S351">
        <v>1</v>
      </c>
      <c r="T351">
        <v>0</v>
      </c>
      <c r="U351">
        <v>0.03</v>
      </c>
      <c r="AV351" s="1" t="s">
        <v>51</v>
      </c>
      <c r="AW351" s="1" t="s">
        <v>1176</v>
      </c>
      <c r="AX351" s="1" t="s">
        <v>51</v>
      </c>
      <c r="AY351" s="1" t="s">
        <v>51</v>
      </c>
    </row>
    <row r="352" spans="1:51" ht="30" customHeight="1" x14ac:dyDescent="0.3">
      <c r="A352" s="5" t="s">
        <v>762</v>
      </c>
      <c r="B352" s="5" t="s">
        <v>51</v>
      </c>
      <c r="C352" s="5" t="s">
        <v>51</v>
      </c>
      <c r="D352" s="6"/>
      <c r="E352" s="11"/>
      <c r="F352" s="10">
        <f>TRUNC(SUMIF(N349:N351, N348, F349:F351),0)</f>
        <v>3986</v>
      </c>
      <c r="G352" s="11"/>
      <c r="H352" s="10">
        <f>TRUNC(SUMIF(N349:N351, N348, H349:H351),0)</f>
        <v>29557</v>
      </c>
      <c r="I352" s="11"/>
      <c r="J352" s="10">
        <f>TRUNC(SUMIF(N349:N351, N348, J349:J351),0)</f>
        <v>0</v>
      </c>
      <c r="K352" s="11"/>
      <c r="L352" s="10">
        <f>F352+H352+J352</f>
        <v>33543</v>
      </c>
      <c r="M352" s="5" t="s">
        <v>51</v>
      </c>
      <c r="N352" s="1" t="s">
        <v>208</v>
      </c>
      <c r="O352" s="1" t="s">
        <v>208</v>
      </c>
      <c r="P352" s="1" t="s">
        <v>51</v>
      </c>
      <c r="Q352" s="1" t="s">
        <v>51</v>
      </c>
      <c r="R352" s="1" t="s">
        <v>51</v>
      </c>
      <c r="AV352" s="1" t="s">
        <v>51</v>
      </c>
      <c r="AW352" s="1" t="s">
        <v>51</v>
      </c>
      <c r="AX352" s="1" t="s">
        <v>51</v>
      </c>
      <c r="AY352" s="1" t="s">
        <v>51</v>
      </c>
    </row>
    <row r="353" spans="1:51" ht="30" customHeight="1" x14ac:dyDescent="0.3">
      <c r="A353" s="6"/>
      <c r="B353" s="6"/>
      <c r="C353" s="6"/>
      <c r="D353" s="6"/>
      <c r="E353" s="11"/>
      <c r="F353" s="10"/>
      <c r="G353" s="11"/>
      <c r="H353" s="10"/>
      <c r="I353" s="11"/>
      <c r="J353" s="10"/>
      <c r="K353" s="11"/>
      <c r="L353" s="10"/>
      <c r="M353" s="6"/>
    </row>
    <row r="354" spans="1:51" ht="30" customHeight="1" x14ac:dyDescent="0.3">
      <c r="A354" s="37" t="s">
        <v>1177</v>
      </c>
      <c r="B354" s="37"/>
      <c r="C354" s="37"/>
      <c r="D354" s="37"/>
      <c r="E354" s="38"/>
      <c r="F354" s="39"/>
      <c r="G354" s="38"/>
      <c r="H354" s="39"/>
      <c r="I354" s="38"/>
      <c r="J354" s="39"/>
      <c r="K354" s="38"/>
      <c r="L354" s="39"/>
      <c r="M354" s="37"/>
      <c r="N354" s="1" t="s">
        <v>302</v>
      </c>
    </row>
    <row r="355" spans="1:51" ht="30" customHeight="1" x14ac:dyDescent="0.3">
      <c r="A355" s="5" t="s">
        <v>1178</v>
      </c>
      <c r="B355" s="5" t="s">
        <v>1179</v>
      </c>
      <c r="C355" s="5" t="s">
        <v>65</v>
      </c>
      <c r="D355" s="6">
        <v>1</v>
      </c>
      <c r="E355" s="11">
        <f>단가대비표!O41</f>
        <v>551</v>
      </c>
      <c r="F355" s="10">
        <f>TRUNC(E355*D355,2)</f>
        <v>551</v>
      </c>
      <c r="G355" s="11">
        <f>단가대비표!P41</f>
        <v>0</v>
      </c>
      <c r="H355" s="10">
        <f>TRUNC(G355*D355,2)</f>
        <v>0</v>
      </c>
      <c r="I355" s="11">
        <f>단가대비표!V41</f>
        <v>0</v>
      </c>
      <c r="J355" s="10">
        <f>TRUNC(I355*D355,2)</f>
        <v>0</v>
      </c>
      <c r="K355" s="11">
        <f t="shared" ref="K355:L359" si="89">TRUNC(E355+G355+I355,2)</f>
        <v>551</v>
      </c>
      <c r="L355" s="10">
        <f t="shared" si="89"/>
        <v>551</v>
      </c>
      <c r="M355" s="5" t="s">
        <v>51</v>
      </c>
      <c r="N355" s="1" t="s">
        <v>302</v>
      </c>
      <c r="O355" s="1" t="s">
        <v>1180</v>
      </c>
      <c r="P355" s="1" t="s">
        <v>60</v>
      </c>
      <c r="Q355" s="1" t="s">
        <v>60</v>
      </c>
      <c r="R355" s="1" t="s">
        <v>61</v>
      </c>
      <c r="V355">
        <v>1</v>
      </c>
      <c r="AV355" s="1" t="s">
        <v>51</v>
      </c>
      <c r="AW355" s="1" t="s">
        <v>1181</v>
      </c>
      <c r="AX355" s="1" t="s">
        <v>51</v>
      </c>
      <c r="AY355" s="1" t="s">
        <v>51</v>
      </c>
    </row>
    <row r="356" spans="1:51" ht="30" customHeight="1" x14ac:dyDescent="0.3">
      <c r="A356" s="5" t="s">
        <v>1178</v>
      </c>
      <c r="B356" s="5" t="s">
        <v>1179</v>
      </c>
      <c r="C356" s="5" t="s">
        <v>65</v>
      </c>
      <c r="D356" s="6">
        <v>0.1</v>
      </c>
      <c r="E356" s="11">
        <f>단가대비표!O41</f>
        <v>551</v>
      </c>
      <c r="F356" s="10">
        <f>TRUNC(E356*D356,2)</f>
        <v>55.1</v>
      </c>
      <c r="G356" s="11">
        <f>단가대비표!P41</f>
        <v>0</v>
      </c>
      <c r="H356" s="10">
        <f>TRUNC(G356*D356,2)</f>
        <v>0</v>
      </c>
      <c r="I356" s="11">
        <f>단가대비표!V41</f>
        <v>0</v>
      </c>
      <c r="J356" s="10">
        <f>TRUNC(I356*D356,2)</f>
        <v>0</v>
      </c>
      <c r="K356" s="11">
        <f t="shared" si="89"/>
        <v>551</v>
      </c>
      <c r="L356" s="10">
        <f t="shared" si="89"/>
        <v>55.1</v>
      </c>
      <c r="M356" s="5" t="s">
        <v>51</v>
      </c>
      <c r="N356" s="1" t="s">
        <v>302</v>
      </c>
      <c r="O356" s="1" t="s">
        <v>1180</v>
      </c>
      <c r="P356" s="1" t="s">
        <v>60</v>
      </c>
      <c r="Q356" s="1" t="s">
        <v>60</v>
      </c>
      <c r="R356" s="1" t="s">
        <v>61</v>
      </c>
      <c r="V356">
        <v>1</v>
      </c>
      <c r="AV356" s="1" t="s">
        <v>51</v>
      </c>
      <c r="AW356" s="1" t="s">
        <v>1181</v>
      </c>
      <c r="AX356" s="1" t="s">
        <v>51</v>
      </c>
      <c r="AY356" s="1" t="s">
        <v>51</v>
      </c>
    </row>
    <row r="357" spans="1:51" ht="30" customHeight="1" x14ac:dyDescent="0.3">
      <c r="A357" s="5" t="s">
        <v>746</v>
      </c>
      <c r="B357" s="5" t="s">
        <v>786</v>
      </c>
      <c r="C357" s="5" t="s">
        <v>631</v>
      </c>
      <c r="D357" s="6">
        <v>1</v>
      </c>
      <c r="E357" s="11">
        <f>TRUNC(SUMIF(V355:V359, RIGHTB(O357, 1), F355:F359)*U357, 2)</f>
        <v>12.12</v>
      </c>
      <c r="F357" s="10">
        <f>TRUNC(E357*D357,2)</f>
        <v>12.12</v>
      </c>
      <c r="G357" s="11">
        <v>0</v>
      </c>
      <c r="H357" s="10">
        <f>TRUNC(G357*D357,2)</f>
        <v>0</v>
      </c>
      <c r="I357" s="11">
        <v>0</v>
      </c>
      <c r="J357" s="10">
        <f>TRUNC(I357*D357,2)</f>
        <v>0</v>
      </c>
      <c r="K357" s="11">
        <f t="shared" si="89"/>
        <v>12.12</v>
      </c>
      <c r="L357" s="10">
        <f t="shared" si="89"/>
        <v>12.12</v>
      </c>
      <c r="M357" s="5" t="s">
        <v>51</v>
      </c>
      <c r="N357" s="1" t="s">
        <v>302</v>
      </c>
      <c r="O357" s="1" t="s">
        <v>657</v>
      </c>
      <c r="P357" s="1" t="s">
        <v>60</v>
      </c>
      <c r="Q357" s="1" t="s">
        <v>60</v>
      </c>
      <c r="R357" s="1" t="s">
        <v>60</v>
      </c>
      <c r="S357">
        <v>0</v>
      </c>
      <c r="T357">
        <v>0</v>
      </c>
      <c r="U357">
        <v>0.02</v>
      </c>
      <c r="AV357" s="1" t="s">
        <v>51</v>
      </c>
      <c r="AW357" s="1" t="s">
        <v>1182</v>
      </c>
      <c r="AX357" s="1" t="s">
        <v>51</v>
      </c>
      <c r="AY357" s="1" t="s">
        <v>51</v>
      </c>
    </row>
    <row r="358" spans="1:51" ht="30" customHeight="1" x14ac:dyDescent="0.3">
      <c r="A358" s="5" t="s">
        <v>769</v>
      </c>
      <c r="B358" s="5" t="s">
        <v>751</v>
      </c>
      <c r="C358" s="5" t="s">
        <v>752</v>
      </c>
      <c r="D358" s="6">
        <f>공량산출근거서!K174</f>
        <v>8.6999999999999994E-3</v>
      </c>
      <c r="E358" s="11">
        <f>단가대비표!O169</f>
        <v>0</v>
      </c>
      <c r="F358" s="10">
        <f>TRUNC(E358*D358,2)</f>
        <v>0</v>
      </c>
      <c r="G358" s="11">
        <f>단가대비표!P169</f>
        <v>273676</v>
      </c>
      <c r="H358" s="10">
        <f>TRUNC(G358*D358,2)</f>
        <v>2380.98</v>
      </c>
      <c r="I358" s="11">
        <f>단가대비표!V169</f>
        <v>0</v>
      </c>
      <c r="J358" s="10">
        <f>TRUNC(I358*D358,2)</f>
        <v>0</v>
      </c>
      <c r="K358" s="11">
        <f t="shared" si="89"/>
        <v>273676</v>
      </c>
      <c r="L358" s="10">
        <f t="shared" si="89"/>
        <v>2380.98</v>
      </c>
      <c r="M358" s="5" t="s">
        <v>51</v>
      </c>
      <c r="N358" s="1" t="s">
        <v>302</v>
      </c>
      <c r="O358" s="1" t="s">
        <v>770</v>
      </c>
      <c r="P358" s="1" t="s">
        <v>60</v>
      </c>
      <c r="Q358" s="1" t="s">
        <v>60</v>
      </c>
      <c r="R358" s="1" t="s">
        <v>61</v>
      </c>
      <c r="W358">
        <v>2</v>
      </c>
      <c r="AV358" s="1" t="s">
        <v>51</v>
      </c>
      <c r="AW358" s="1" t="s">
        <v>1183</v>
      </c>
      <c r="AX358" s="1" t="s">
        <v>51</v>
      </c>
      <c r="AY358" s="1" t="s">
        <v>51</v>
      </c>
    </row>
    <row r="359" spans="1:51" ht="30" customHeight="1" x14ac:dyDescent="0.3">
      <c r="A359" s="5" t="s">
        <v>758</v>
      </c>
      <c r="B359" s="5" t="s">
        <v>759</v>
      </c>
      <c r="C359" s="5" t="s">
        <v>631</v>
      </c>
      <c r="D359" s="6">
        <v>1</v>
      </c>
      <c r="E359" s="11">
        <f>TRUNC(SUMIF(W355:W359, RIGHTB(O359, 1), H355:H359)*U359, 2)</f>
        <v>71.42</v>
      </c>
      <c r="F359" s="10">
        <f>TRUNC(E359*D359,2)</f>
        <v>71.42</v>
      </c>
      <c r="G359" s="11">
        <v>0</v>
      </c>
      <c r="H359" s="10">
        <f>TRUNC(G359*D359,2)</f>
        <v>0</v>
      </c>
      <c r="I359" s="11">
        <v>0</v>
      </c>
      <c r="J359" s="10">
        <f>TRUNC(I359*D359,2)</f>
        <v>0</v>
      </c>
      <c r="K359" s="11">
        <f t="shared" si="89"/>
        <v>71.42</v>
      </c>
      <c r="L359" s="10">
        <f t="shared" si="89"/>
        <v>71.42</v>
      </c>
      <c r="M359" s="5" t="s">
        <v>51</v>
      </c>
      <c r="N359" s="1" t="s">
        <v>302</v>
      </c>
      <c r="O359" s="1" t="s">
        <v>748</v>
      </c>
      <c r="P359" s="1" t="s">
        <v>60</v>
      </c>
      <c r="Q359" s="1" t="s">
        <v>60</v>
      </c>
      <c r="R359" s="1" t="s">
        <v>60</v>
      </c>
      <c r="S359">
        <v>1</v>
      </c>
      <c r="T359">
        <v>0</v>
      </c>
      <c r="U359">
        <v>0.03</v>
      </c>
      <c r="AV359" s="1" t="s">
        <v>51</v>
      </c>
      <c r="AW359" s="1" t="s">
        <v>1184</v>
      </c>
      <c r="AX359" s="1" t="s">
        <v>51</v>
      </c>
      <c r="AY359" s="1" t="s">
        <v>51</v>
      </c>
    </row>
    <row r="360" spans="1:51" ht="30" customHeight="1" x14ac:dyDescent="0.3">
      <c r="A360" s="5" t="s">
        <v>762</v>
      </c>
      <c r="B360" s="5" t="s">
        <v>51</v>
      </c>
      <c r="C360" s="5" t="s">
        <v>51</v>
      </c>
      <c r="D360" s="6"/>
      <c r="E360" s="11"/>
      <c r="F360" s="10">
        <f>TRUNC(SUMIF(N355:N359, N354, F355:F359),0)</f>
        <v>689</v>
      </c>
      <c r="G360" s="11"/>
      <c r="H360" s="10">
        <f>TRUNC(SUMIF(N355:N359, N354, H355:H359),0)</f>
        <v>2380</v>
      </c>
      <c r="I360" s="11"/>
      <c r="J360" s="10">
        <f>TRUNC(SUMIF(N355:N359, N354, J355:J359),0)</f>
        <v>0</v>
      </c>
      <c r="K360" s="11"/>
      <c r="L360" s="10">
        <f>F360+H360+J360</f>
        <v>3069</v>
      </c>
      <c r="M360" s="5" t="s">
        <v>51</v>
      </c>
      <c r="N360" s="1" t="s">
        <v>208</v>
      </c>
      <c r="O360" s="1" t="s">
        <v>208</v>
      </c>
      <c r="P360" s="1" t="s">
        <v>51</v>
      </c>
      <c r="Q360" s="1" t="s">
        <v>51</v>
      </c>
      <c r="R360" s="1" t="s">
        <v>51</v>
      </c>
      <c r="AV360" s="1" t="s">
        <v>51</v>
      </c>
      <c r="AW360" s="1" t="s">
        <v>51</v>
      </c>
      <c r="AX360" s="1" t="s">
        <v>51</v>
      </c>
      <c r="AY360" s="1" t="s">
        <v>51</v>
      </c>
    </row>
    <row r="361" spans="1:51" ht="30" customHeight="1" x14ac:dyDescent="0.3">
      <c r="A361" s="6"/>
      <c r="B361" s="6"/>
      <c r="C361" s="6"/>
      <c r="D361" s="6"/>
      <c r="E361" s="11"/>
      <c r="F361" s="10"/>
      <c r="G361" s="11"/>
      <c r="H361" s="10"/>
      <c r="I361" s="11"/>
      <c r="J361" s="10"/>
      <c r="K361" s="11"/>
      <c r="L361" s="10"/>
      <c r="M361" s="6"/>
    </row>
    <row r="362" spans="1:51" ht="30" customHeight="1" x14ac:dyDescent="0.3">
      <c r="A362" s="37" t="s">
        <v>1185</v>
      </c>
      <c r="B362" s="37"/>
      <c r="C362" s="37"/>
      <c r="D362" s="37"/>
      <c r="E362" s="38"/>
      <c r="F362" s="39"/>
      <c r="G362" s="38"/>
      <c r="H362" s="39"/>
      <c r="I362" s="38"/>
      <c r="J362" s="39"/>
      <c r="K362" s="38"/>
      <c r="L362" s="39"/>
      <c r="M362" s="37"/>
      <c r="N362" s="1" t="s">
        <v>306</v>
      </c>
    </row>
    <row r="363" spans="1:51" ht="30" customHeight="1" x14ac:dyDescent="0.3">
      <c r="A363" s="5" t="s">
        <v>1178</v>
      </c>
      <c r="B363" s="5" t="s">
        <v>1179</v>
      </c>
      <c r="C363" s="5" t="s">
        <v>65</v>
      </c>
      <c r="D363" s="6">
        <v>1</v>
      </c>
      <c r="E363" s="11">
        <f>단가대비표!O41</f>
        <v>551</v>
      </c>
      <c r="F363" s="10">
        <f>TRUNC(E363*D363,2)</f>
        <v>551</v>
      </c>
      <c r="G363" s="11">
        <f>단가대비표!P41</f>
        <v>0</v>
      </c>
      <c r="H363" s="10">
        <f>TRUNC(G363*D363,2)</f>
        <v>0</v>
      </c>
      <c r="I363" s="11">
        <f>단가대비표!V41</f>
        <v>0</v>
      </c>
      <c r="J363" s="10">
        <f>TRUNC(I363*D363,2)</f>
        <v>0</v>
      </c>
      <c r="K363" s="11">
        <f t="shared" ref="K363:L367" si="90">TRUNC(E363+G363+I363,2)</f>
        <v>551</v>
      </c>
      <c r="L363" s="10">
        <f t="shared" si="90"/>
        <v>551</v>
      </c>
      <c r="M363" s="5" t="s">
        <v>51</v>
      </c>
      <c r="N363" s="1" t="s">
        <v>306</v>
      </c>
      <c r="O363" s="1" t="s">
        <v>1180</v>
      </c>
      <c r="P363" s="1" t="s">
        <v>60</v>
      </c>
      <c r="Q363" s="1" t="s">
        <v>60</v>
      </c>
      <c r="R363" s="1" t="s">
        <v>61</v>
      </c>
      <c r="V363">
        <v>1</v>
      </c>
      <c r="AV363" s="1" t="s">
        <v>51</v>
      </c>
      <c r="AW363" s="1" t="s">
        <v>1186</v>
      </c>
      <c r="AX363" s="1" t="s">
        <v>51</v>
      </c>
      <c r="AY363" s="1" t="s">
        <v>51</v>
      </c>
    </row>
    <row r="364" spans="1:51" ht="30" customHeight="1" x14ac:dyDescent="0.3">
      <c r="A364" s="5" t="s">
        <v>1178</v>
      </c>
      <c r="B364" s="5" t="s">
        <v>1179</v>
      </c>
      <c r="C364" s="5" t="s">
        <v>65</v>
      </c>
      <c r="D364" s="6">
        <v>0.1</v>
      </c>
      <c r="E364" s="11">
        <f>단가대비표!O41</f>
        <v>551</v>
      </c>
      <c r="F364" s="10">
        <f>TRUNC(E364*D364,2)</f>
        <v>55.1</v>
      </c>
      <c r="G364" s="11">
        <f>단가대비표!P41</f>
        <v>0</v>
      </c>
      <c r="H364" s="10">
        <f>TRUNC(G364*D364,2)</f>
        <v>0</v>
      </c>
      <c r="I364" s="11">
        <f>단가대비표!V41</f>
        <v>0</v>
      </c>
      <c r="J364" s="10">
        <f>TRUNC(I364*D364,2)</f>
        <v>0</v>
      </c>
      <c r="K364" s="11">
        <f t="shared" si="90"/>
        <v>551</v>
      </c>
      <c r="L364" s="10">
        <f t="shared" si="90"/>
        <v>55.1</v>
      </c>
      <c r="M364" s="5" t="s">
        <v>51</v>
      </c>
      <c r="N364" s="1" t="s">
        <v>306</v>
      </c>
      <c r="O364" s="1" t="s">
        <v>1180</v>
      </c>
      <c r="P364" s="1" t="s">
        <v>60</v>
      </c>
      <c r="Q364" s="1" t="s">
        <v>60</v>
      </c>
      <c r="R364" s="1" t="s">
        <v>61</v>
      </c>
      <c r="V364">
        <v>1</v>
      </c>
      <c r="AV364" s="1" t="s">
        <v>51</v>
      </c>
      <c r="AW364" s="1" t="s">
        <v>1186</v>
      </c>
      <c r="AX364" s="1" t="s">
        <v>51</v>
      </c>
      <c r="AY364" s="1" t="s">
        <v>51</v>
      </c>
    </row>
    <row r="365" spans="1:51" ht="30" customHeight="1" x14ac:dyDescent="0.3">
      <c r="A365" s="5" t="s">
        <v>746</v>
      </c>
      <c r="B365" s="5" t="s">
        <v>786</v>
      </c>
      <c r="C365" s="5" t="s">
        <v>631</v>
      </c>
      <c r="D365" s="6">
        <v>1</v>
      </c>
      <c r="E365" s="11">
        <f>TRUNC(SUMIF(V363:V367, RIGHTB(O365, 1), F363:F367)*U365, 2)</f>
        <v>12.12</v>
      </c>
      <c r="F365" s="10">
        <f>TRUNC(E365*D365,2)</f>
        <v>12.12</v>
      </c>
      <c r="G365" s="11">
        <v>0</v>
      </c>
      <c r="H365" s="10">
        <f>TRUNC(G365*D365,2)</f>
        <v>0</v>
      </c>
      <c r="I365" s="11">
        <v>0</v>
      </c>
      <c r="J365" s="10">
        <f>TRUNC(I365*D365,2)</f>
        <v>0</v>
      </c>
      <c r="K365" s="11">
        <f t="shared" si="90"/>
        <v>12.12</v>
      </c>
      <c r="L365" s="10">
        <f t="shared" si="90"/>
        <v>12.12</v>
      </c>
      <c r="M365" s="5" t="s">
        <v>51</v>
      </c>
      <c r="N365" s="1" t="s">
        <v>306</v>
      </c>
      <c r="O365" s="1" t="s">
        <v>657</v>
      </c>
      <c r="P365" s="1" t="s">
        <v>60</v>
      </c>
      <c r="Q365" s="1" t="s">
        <v>60</v>
      </c>
      <c r="R365" s="1" t="s">
        <v>60</v>
      </c>
      <c r="S365">
        <v>0</v>
      </c>
      <c r="T365">
        <v>0</v>
      </c>
      <c r="U365">
        <v>0.02</v>
      </c>
      <c r="AV365" s="1" t="s">
        <v>51</v>
      </c>
      <c r="AW365" s="1" t="s">
        <v>1187</v>
      </c>
      <c r="AX365" s="1" t="s">
        <v>51</v>
      </c>
      <c r="AY365" s="1" t="s">
        <v>51</v>
      </c>
    </row>
    <row r="366" spans="1:51" ht="30" customHeight="1" x14ac:dyDescent="0.3">
      <c r="A366" s="5" t="s">
        <v>769</v>
      </c>
      <c r="B366" s="5" t="s">
        <v>751</v>
      </c>
      <c r="C366" s="5" t="s">
        <v>752</v>
      </c>
      <c r="D366" s="6">
        <f>공량산출근거서!K178</f>
        <v>7.0000000000000001E-3</v>
      </c>
      <c r="E366" s="11">
        <f>단가대비표!O169</f>
        <v>0</v>
      </c>
      <c r="F366" s="10">
        <f>TRUNC(E366*D366,2)</f>
        <v>0</v>
      </c>
      <c r="G366" s="11">
        <f>단가대비표!P169</f>
        <v>273676</v>
      </c>
      <c r="H366" s="10">
        <f>TRUNC(G366*D366,2)</f>
        <v>1915.73</v>
      </c>
      <c r="I366" s="11">
        <f>단가대비표!V169</f>
        <v>0</v>
      </c>
      <c r="J366" s="10">
        <f>TRUNC(I366*D366,2)</f>
        <v>0</v>
      </c>
      <c r="K366" s="11">
        <f t="shared" si="90"/>
        <v>273676</v>
      </c>
      <c r="L366" s="10">
        <f t="shared" si="90"/>
        <v>1915.73</v>
      </c>
      <c r="M366" s="5" t="s">
        <v>51</v>
      </c>
      <c r="N366" s="1" t="s">
        <v>306</v>
      </c>
      <c r="O366" s="1" t="s">
        <v>770</v>
      </c>
      <c r="P366" s="1" t="s">
        <v>60</v>
      </c>
      <c r="Q366" s="1" t="s">
        <v>60</v>
      </c>
      <c r="R366" s="1" t="s">
        <v>61</v>
      </c>
      <c r="W366">
        <v>2</v>
      </c>
      <c r="AV366" s="1" t="s">
        <v>51</v>
      </c>
      <c r="AW366" s="1" t="s">
        <v>1188</v>
      </c>
      <c r="AX366" s="1" t="s">
        <v>51</v>
      </c>
      <c r="AY366" s="1" t="s">
        <v>51</v>
      </c>
    </row>
    <row r="367" spans="1:51" ht="30" customHeight="1" x14ac:dyDescent="0.3">
      <c r="A367" s="5" t="s">
        <v>758</v>
      </c>
      <c r="B367" s="5" t="s">
        <v>759</v>
      </c>
      <c r="C367" s="5" t="s">
        <v>631</v>
      </c>
      <c r="D367" s="6">
        <v>1</v>
      </c>
      <c r="E367" s="11">
        <f>TRUNC(SUMIF(W363:W367, RIGHTB(O367, 1), H363:H367)*U367, 2)</f>
        <v>57.47</v>
      </c>
      <c r="F367" s="10">
        <f>TRUNC(E367*D367,2)</f>
        <v>57.47</v>
      </c>
      <c r="G367" s="11">
        <v>0</v>
      </c>
      <c r="H367" s="10">
        <f>TRUNC(G367*D367,2)</f>
        <v>0</v>
      </c>
      <c r="I367" s="11">
        <v>0</v>
      </c>
      <c r="J367" s="10">
        <f>TRUNC(I367*D367,2)</f>
        <v>0</v>
      </c>
      <c r="K367" s="11">
        <f t="shared" si="90"/>
        <v>57.47</v>
      </c>
      <c r="L367" s="10">
        <f t="shared" si="90"/>
        <v>57.47</v>
      </c>
      <c r="M367" s="5" t="s">
        <v>51</v>
      </c>
      <c r="N367" s="1" t="s">
        <v>306</v>
      </c>
      <c r="O367" s="1" t="s">
        <v>748</v>
      </c>
      <c r="P367" s="1" t="s">
        <v>60</v>
      </c>
      <c r="Q367" s="1" t="s">
        <v>60</v>
      </c>
      <c r="R367" s="1" t="s">
        <v>60</v>
      </c>
      <c r="S367">
        <v>1</v>
      </c>
      <c r="T367">
        <v>0</v>
      </c>
      <c r="U367">
        <v>0.03</v>
      </c>
      <c r="AV367" s="1" t="s">
        <v>51</v>
      </c>
      <c r="AW367" s="1" t="s">
        <v>1189</v>
      </c>
      <c r="AX367" s="1" t="s">
        <v>51</v>
      </c>
      <c r="AY367" s="1" t="s">
        <v>51</v>
      </c>
    </row>
    <row r="368" spans="1:51" ht="30" customHeight="1" x14ac:dyDescent="0.3">
      <c r="A368" s="5" t="s">
        <v>762</v>
      </c>
      <c r="B368" s="5" t="s">
        <v>51</v>
      </c>
      <c r="C368" s="5" t="s">
        <v>51</v>
      </c>
      <c r="D368" s="6"/>
      <c r="E368" s="11"/>
      <c r="F368" s="10">
        <f>TRUNC(SUMIF(N363:N367, N362, F363:F367),0)</f>
        <v>675</v>
      </c>
      <c r="G368" s="11"/>
      <c r="H368" s="10">
        <f>TRUNC(SUMIF(N363:N367, N362, H363:H367),0)</f>
        <v>1915</v>
      </c>
      <c r="I368" s="11"/>
      <c r="J368" s="10">
        <f>TRUNC(SUMIF(N363:N367, N362, J363:J367),0)</f>
        <v>0</v>
      </c>
      <c r="K368" s="11"/>
      <c r="L368" s="10">
        <f>F368+H368+J368</f>
        <v>2590</v>
      </c>
      <c r="M368" s="5" t="s">
        <v>51</v>
      </c>
      <c r="N368" s="1" t="s">
        <v>208</v>
      </c>
      <c r="O368" s="1" t="s">
        <v>208</v>
      </c>
      <c r="P368" s="1" t="s">
        <v>51</v>
      </c>
      <c r="Q368" s="1" t="s">
        <v>51</v>
      </c>
      <c r="R368" s="1" t="s">
        <v>51</v>
      </c>
      <c r="AV368" s="1" t="s">
        <v>51</v>
      </c>
      <c r="AW368" s="1" t="s">
        <v>51</v>
      </c>
      <c r="AX368" s="1" t="s">
        <v>51</v>
      </c>
      <c r="AY368" s="1" t="s">
        <v>51</v>
      </c>
    </row>
    <row r="369" spans="1:51" ht="30" customHeight="1" x14ac:dyDescent="0.3">
      <c r="A369" s="6"/>
      <c r="B369" s="6"/>
      <c r="C369" s="6"/>
      <c r="D369" s="6"/>
      <c r="E369" s="11"/>
      <c r="F369" s="10"/>
      <c r="G369" s="11"/>
      <c r="H369" s="10"/>
      <c r="I369" s="11"/>
      <c r="J369" s="10"/>
      <c r="K369" s="11"/>
      <c r="L369" s="10"/>
      <c r="M369" s="6"/>
    </row>
    <row r="370" spans="1:51" ht="30" customHeight="1" x14ac:dyDescent="0.3">
      <c r="A370" s="37" t="s">
        <v>1190</v>
      </c>
      <c r="B370" s="37"/>
      <c r="C370" s="37"/>
      <c r="D370" s="37"/>
      <c r="E370" s="38"/>
      <c r="F370" s="39"/>
      <c r="G370" s="38"/>
      <c r="H370" s="39"/>
      <c r="I370" s="38"/>
      <c r="J370" s="39"/>
      <c r="K370" s="38"/>
      <c r="L370" s="39"/>
      <c r="M370" s="37"/>
      <c r="N370" s="1" t="s">
        <v>311</v>
      </c>
    </row>
    <row r="371" spans="1:51" ht="30" customHeight="1" x14ac:dyDescent="0.3">
      <c r="A371" s="5" t="s">
        <v>308</v>
      </c>
      <c r="B371" s="5" t="s">
        <v>1191</v>
      </c>
      <c r="C371" s="5" t="s">
        <v>58</v>
      </c>
      <c r="D371" s="6">
        <v>1</v>
      </c>
      <c r="E371" s="11">
        <f>단가대비표!O88</f>
        <v>1384</v>
      </c>
      <c r="F371" s="10">
        <f>TRUNC(E371*D371,2)</f>
        <v>1384</v>
      </c>
      <c r="G371" s="11">
        <f>단가대비표!P88</f>
        <v>0</v>
      </c>
      <c r="H371" s="10">
        <f>TRUNC(G371*D371,2)</f>
        <v>0</v>
      </c>
      <c r="I371" s="11">
        <f>단가대비표!V88</f>
        <v>0</v>
      </c>
      <c r="J371" s="10">
        <f>TRUNC(I371*D371,2)</f>
        <v>0</v>
      </c>
      <c r="K371" s="11">
        <f t="shared" ref="K371:L373" si="91">TRUNC(E371+G371+I371,2)</f>
        <v>1384</v>
      </c>
      <c r="L371" s="10">
        <f t="shared" si="91"/>
        <v>1384</v>
      </c>
      <c r="M371" s="5" t="s">
        <v>51</v>
      </c>
      <c r="N371" s="1" t="s">
        <v>311</v>
      </c>
      <c r="O371" s="1" t="s">
        <v>1192</v>
      </c>
      <c r="P371" s="1" t="s">
        <v>60</v>
      </c>
      <c r="Q371" s="1" t="s">
        <v>60</v>
      </c>
      <c r="R371" s="1" t="s">
        <v>61</v>
      </c>
      <c r="AV371" s="1" t="s">
        <v>51</v>
      </c>
      <c r="AW371" s="1" t="s">
        <v>1193</v>
      </c>
      <c r="AX371" s="1" t="s">
        <v>51</v>
      </c>
      <c r="AY371" s="1" t="s">
        <v>51</v>
      </c>
    </row>
    <row r="372" spans="1:51" ht="30" customHeight="1" x14ac:dyDescent="0.3">
      <c r="A372" s="5" t="s">
        <v>769</v>
      </c>
      <c r="B372" s="5" t="s">
        <v>751</v>
      </c>
      <c r="C372" s="5" t="s">
        <v>752</v>
      </c>
      <c r="D372" s="6">
        <f>공량산출근거서!K181</f>
        <v>6.5000000000000002E-2</v>
      </c>
      <c r="E372" s="11">
        <f>단가대비표!O169</f>
        <v>0</v>
      </c>
      <c r="F372" s="10">
        <f>TRUNC(E372*D372,2)</f>
        <v>0</v>
      </c>
      <c r="G372" s="11">
        <f>단가대비표!P169</f>
        <v>273676</v>
      </c>
      <c r="H372" s="10">
        <f>TRUNC(G372*D372,2)</f>
        <v>17788.939999999999</v>
      </c>
      <c r="I372" s="11">
        <f>단가대비표!V169</f>
        <v>0</v>
      </c>
      <c r="J372" s="10">
        <f>TRUNC(I372*D372,2)</f>
        <v>0</v>
      </c>
      <c r="K372" s="11">
        <f t="shared" si="91"/>
        <v>273676</v>
      </c>
      <c r="L372" s="10">
        <f t="shared" si="91"/>
        <v>17788.939999999999</v>
      </c>
      <c r="M372" s="5" t="s">
        <v>51</v>
      </c>
      <c r="N372" s="1" t="s">
        <v>311</v>
      </c>
      <c r="O372" s="1" t="s">
        <v>770</v>
      </c>
      <c r="P372" s="1" t="s">
        <v>60</v>
      </c>
      <c r="Q372" s="1" t="s">
        <v>60</v>
      </c>
      <c r="R372" s="1" t="s">
        <v>61</v>
      </c>
      <c r="V372">
        <v>1</v>
      </c>
      <c r="AV372" s="1" t="s">
        <v>51</v>
      </c>
      <c r="AW372" s="1" t="s">
        <v>1194</v>
      </c>
      <c r="AX372" s="1" t="s">
        <v>51</v>
      </c>
      <c r="AY372" s="1" t="s">
        <v>51</v>
      </c>
    </row>
    <row r="373" spans="1:51" ht="30" customHeight="1" x14ac:dyDescent="0.3">
      <c r="A373" s="5" t="s">
        <v>758</v>
      </c>
      <c r="B373" s="5" t="s">
        <v>759</v>
      </c>
      <c r="C373" s="5" t="s">
        <v>631</v>
      </c>
      <c r="D373" s="6">
        <v>1</v>
      </c>
      <c r="E373" s="11">
        <f>TRUNC(SUMIF(V371:V373, RIGHTB(O373, 1), H371:H373)*U373, 2)</f>
        <v>533.66</v>
      </c>
      <c r="F373" s="10">
        <f>TRUNC(E373*D373,2)</f>
        <v>533.66</v>
      </c>
      <c r="G373" s="11">
        <v>0</v>
      </c>
      <c r="H373" s="10">
        <f>TRUNC(G373*D373,2)</f>
        <v>0</v>
      </c>
      <c r="I373" s="11">
        <v>0</v>
      </c>
      <c r="J373" s="10">
        <f>TRUNC(I373*D373,2)</f>
        <v>0</v>
      </c>
      <c r="K373" s="11">
        <f t="shared" si="91"/>
        <v>533.66</v>
      </c>
      <c r="L373" s="10">
        <f t="shared" si="91"/>
        <v>533.66</v>
      </c>
      <c r="M373" s="5" t="s">
        <v>51</v>
      </c>
      <c r="N373" s="1" t="s">
        <v>311</v>
      </c>
      <c r="O373" s="1" t="s">
        <v>657</v>
      </c>
      <c r="P373" s="1" t="s">
        <v>60</v>
      </c>
      <c r="Q373" s="1" t="s">
        <v>60</v>
      </c>
      <c r="R373" s="1" t="s">
        <v>60</v>
      </c>
      <c r="S373">
        <v>1</v>
      </c>
      <c r="T373">
        <v>0</v>
      </c>
      <c r="U373">
        <v>0.03</v>
      </c>
      <c r="AV373" s="1" t="s">
        <v>51</v>
      </c>
      <c r="AW373" s="1" t="s">
        <v>1195</v>
      </c>
      <c r="AX373" s="1" t="s">
        <v>51</v>
      </c>
      <c r="AY373" s="1" t="s">
        <v>51</v>
      </c>
    </row>
    <row r="374" spans="1:51" ht="30" customHeight="1" x14ac:dyDescent="0.3">
      <c r="A374" s="5" t="s">
        <v>762</v>
      </c>
      <c r="B374" s="5" t="s">
        <v>51</v>
      </c>
      <c r="C374" s="5" t="s">
        <v>51</v>
      </c>
      <c r="D374" s="6"/>
      <c r="E374" s="11"/>
      <c r="F374" s="10">
        <f>TRUNC(SUMIF(N371:N373, N370, F371:F373),0)</f>
        <v>1917</v>
      </c>
      <c r="G374" s="11"/>
      <c r="H374" s="10">
        <f>TRUNC(SUMIF(N371:N373, N370, H371:H373),0)</f>
        <v>17788</v>
      </c>
      <c r="I374" s="11"/>
      <c r="J374" s="10">
        <f>TRUNC(SUMIF(N371:N373, N370, J371:J373),0)</f>
        <v>0</v>
      </c>
      <c r="K374" s="11"/>
      <c r="L374" s="10">
        <f>F374+H374+J374</f>
        <v>19705</v>
      </c>
      <c r="M374" s="5" t="s">
        <v>51</v>
      </c>
      <c r="N374" s="1" t="s">
        <v>208</v>
      </c>
      <c r="O374" s="1" t="s">
        <v>208</v>
      </c>
      <c r="P374" s="1" t="s">
        <v>51</v>
      </c>
      <c r="Q374" s="1" t="s">
        <v>51</v>
      </c>
      <c r="R374" s="1" t="s">
        <v>51</v>
      </c>
      <c r="AV374" s="1" t="s">
        <v>51</v>
      </c>
      <c r="AW374" s="1" t="s">
        <v>51</v>
      </c>
      <c r="AX374" s="1" t="s">
        <v>51</v>
      </c>
      <c r="AY374" s="1" t="s">
        <v>51</v>
      </c>
    </row>
    <row r="375" spans="1:51" ht="30" customHeight="1" x14ac:dyDescent="0.3">
      <c r="A375" s="6"/>
      <c r="B375" s="6"/>
      <c r="C375" s="6"/>
      <c r="D375" s="6"/>
      <c r="E375" s="11"/>
      <c r="F375" s="10"/>
      <c r="G375" s="11"/>
      <c r="H375" s="10"/>
      <c r="I375" s="11"/>
      <c r="J375" s="10"/>
      <c r="K375" s="11"/>
      <c r="L375" s="10"/>
      <c r="M375" s="6"/>
    </row>
    <row r="376" spans="1:51" ht="30" customHeight="1" x14ac:dyDescent="0.3">
      <c r="A376" s="37" t="s">
        <v>1196</v>
      </c>
      <c r="B376" s="37"/>
      <c r="C376" s="37"/>
      <c r="D376" s="37"/>
      <c r="E376" s="38"/>
      <c r="F376" s="39"/>
      <c r="G376" s="38"/>
      <c r="H376" s="39"/>
      <c r="I376" s="38"/>
      <c r="J376" s="39"/>
      <c r="K376" s="38"/>
      <c r="L376" s="39"/>
      <c r="M376" s="37"/>
      <c r="N376" s="1" t="s">
        <v>315</v>
      </c>
    </row>
    <row r="377" spans="1:51" ht="30" customHeight="1" x14ac:dyDescent="0.3">
      <c r="A377" s="5" t="s">
        <v>308</v>
      </c>
      <c r="B377" s="5" t="s">
        <v>1197</v>
      </c>
      <c r="C377" s="5" t="s">
        <v>58</v>
      </c>
      <c r="D377" s="6">
        <v>1</v>
      </c>
      <c r="E377" s="11">
        <f>단가대비표!O89</f>
        <v>2035</v>
      </c>
      <c r="F377" s="10">
        <f>TRUNC(E377*D377,2)</f>
        <v>2035</v>
      </c>
      <c r="G377" s="11">
        <f>단가대비표!P89</f>
        <v>0</v>
      </c>
      <c r="H377" s="10">
        <f>TRUNC(G377*D377,2)</f>
        <v>0</v>
      </c>
      <c r="I377" s="11">
        <f>단가대비표!V89</f>
        <v>0</v>
      </c>
      <c r="J377" s="10">
        <f>TRUNC(I377*D377,2)</f>
        <v>0</v>
      </c>
      <c r="K377" s="11">
        <f t="shared" ref="K377:L379" si="92">TRUNC(E377+G377+I377,2)</f>
        <v>2035</v>
      </c>
      <c r="L377" s="10">
        <f t="shared" si="92"/>
        <v>2035</v>
      </c>
      <c r="M377" s="5" t="s">
        <v>51</v>
      </c>
      <c r="N377" s="1" t="s">
        <v>315</v>
      </c>
      <c r="O377" s="1" t="s">
        <v>1198</v>
      </c>
      <c r="P377" s="1" t="s">
        <v>60</v>
      </c>
      <c r="Q377" s="1" t="s">
        <v>60</v>
      </c>
      <c r="R377" s="1" t="s">
        <v>61</v>
      </c>
      <c r="AV377" s="1" t="s">
        <v>51</v>
      </c>
      <c r="AW377" s="1" t="s">
        <v>1199</v>
      </c>
      <c r="AX377" s="1" t="s">
        <v>51</v>
      </c>
      <c r="AY377" s="1" t="s">
        <v>51</v>
      </c>
    </row>
    <row r="378" spans="1:51" ht="30" customHeight="1" x14ac:dyDescent="0.3">
      <c r="A378" s="5" t="s">
        <v>769</v>
      </c>
      <c r="B378" s="5" t="s">
        <v>751</v>
      </c>
      <c r="C378" s="5" t="s">
        <v>752</v>
      </c>
      <c r="D378" s="6">
        <f>공량산출근거서!K184</f>
        <v>6.5000000000000002E-2</v>
      </c>
      <c r="E378" s="11">
        <f>단가대비표!O169</f>
        <v>0</v>
      </c>
      <c r="F378" s="10">
        <f>TRUNC(E378*D378,2)</f>
        <v>0</v>
      </c>
      <c r="G378" s="11">
        <f>단가대비표!P169</f>
        <v>273676</v>
      </c>
      <c r="H378" s="10">
        <f>TRUNC(G378*D378,2)</f>
        <v>17788.939999999999</v>
      </c>
      <c r="I378" s="11">
        <f>단가대비표!V169</f>
        <v>0</v>
      </c>
      <c r="J378" s="10">
        <f>TRUNC(I378*D378,2)</f>
        <v>0</v>
      </c>
      <c r="K378" s="11">
        <f t="shared" si="92"/>
        <v>273676</v>
      </c>
      <c r="L378" s="10">
        <f t="shared" si="92"/>
        <v>17788.939999999999</v>
      </c>
      <c r="M378" s="5" t="s">
        <v>51</v>
      </c>
      <c r="N378" s="1" t="s">
        <v>315</v>
      </c>
      <c r="O378" s="1" t="s">
        <v>770</v>
      </c>
      <c r="P378" s="1" t="s">
        <v>60</v>
      </c>
      <c r="Q378" s="1" t="s">
        <v>60</v>
      </c>
      <c r="R378" s="1" t="s">
        <v>61</v>
      </c>
      <c r="V378">
        <v>1</v>
      </c>
      <c r="AV378" s="1" t="s">
        <v>51</v>
      </c>
      <c r="AW378" s="1" t="s">
        <v>1200</v>
      </c>
      <c r="AX378" s="1" t="s">
        <v>51</v>
      </c>
      <c r="AY378" s="1" t="s">
        <v>51</v>
      </c>
    </row>
    <row r="379" spans="1:51" ht="30" customHeight="1" x14ac:dyDescent="0.3">
      <c r="A379" s="5" t="s">
        <v>758</v>
      </c>
      <c r="B379" s="5" t="s">
        <v>759</v>
      </c>
      <c r="C379" s="5" t="s">
        <v>631</v>
      </c>
      <c r="D379" s="6">
        <v>1</v>
      </c>
      <c r="E379" s="11">
        <f>TRUNC(SUMIF(V377:V379, RIGHTB(O379, 1), H377:H379)*U379, 2)</f>
        <v>533.66</v>
      </c>
      <c r="F379" s="10">
        <f>TRUNC(E379*D379,2)</f>
        <v>533.66</v>
      </c>
      <c r="G379" s="11">
        <v>0</v>
      </c>
      <c r="H379" s="10">
        <f>TRUNC(G379*D379,2)</f>
        <v>0</v>
      </c>
      <c r="I379" s="11">
        <v>0</v>
      </c>
      <c r="J379" s="10">
        <f>TRUNC(I379*D379,2)</f>
        <v>0</v>
      </c>
      <c r="K379" s="11">
        <f t="shared" si="92"/>
        <v>533.66</v>
      </c>
      <c r="L379" s="10">
        <f t="shared" si="92"/>
        <v>533.66</v>
      </c>
      <c r="M379" s="5" t="s">
        <v>51</v>
      </c>
      <c r="N379" s="1" t="s">
        <v>315</v>
      </c>
      <c r="O379" s="1" t="s">
        <v>657</v>
      </c>
      <c r="P379" s="1" t="s">
        <v>60</v>
      </c>
      <c r="Q379" s="1" t="s">
        <v>60</v>
      </c>
      <c r="R379" s="1" t="s">
        <v>60</v>
      </c>
      <c r="S379">
        <v>1</v>
      </c>
      <c r="T379">
        <v>0</v>
      </c>
      <c r="U379">
        <v>0.03</v>
      </c>
      <c r="AV379" s="1" t="s">
        <v>51</v>
      </c>
      <c r="AW379" s="1" t="s">
        <v>1201</v>
      </c>
      <c r="AX379" s="1" t="s">
        <v>51</v>
      </c>
      <c r="AY379" s="1" t="s">
        <v>51</v>
      </c>
    </row>
    <row r="380" spans="1:51" ht="30" customHeight="1" x14ac:dyDescent="0.3">
      <c r="A380" s="5" t="s">
        <v>762</v>
      </c>
      <c r="B380" s="5" t="s">
        <v>51</v>
      </c>
      <c r="C380" s="5" t="s">
        <v>51</v>
      </c>
      <c r="D380" s="6"/>
      <c r="E380" s="11"/>
      <c r="F380" s="10">
        <f>TRUNC(SUMIF(N377:N379, N376, F377:F379),0)</f>
        <v>2568</v>
      </c>
      <c r="G380" s="11"/>
      <c r="H380" s="10">
        <f>TRUNC(SUMIF(N377:N379, N376, H377:H379),0)</f>
        <v>17788</v>
      </c>
      <c r="I380" s="11"/>
      <c r="J380" s="10">
        <f>TRUNC(SUMIF(N377:N379, N376, J377:J379),0)</f>
        <v>0</v>
      </c>
      <c r="K380" s="11"/>
      <c r="L380" s="10">
        <f>F380+H380+J380</f>
        <v>20356</v>
      </c>
      <c r="M380" s="5" t="s">
        <v>51</v>
      </c>
      <c r="N380" s="1" t="s">
        <v>208</v>
      </c>
      <c r="O380" s="1" t="s">
        <v>208</v>
      </c>
      <c r="P380" s="1" t="s">
        <v>51</v>
      </c>
      <c r="Q380" s="1" t="s">
        <v>51</v>
      </c>
      <c r="R380" s="1" t="s">
        <v>51</v>
      </c>
      <c r="AV380" s="1" t="s">
        <v>51</v>
      </c>
      <c r="AW380" s="1" t="s">
        <v>51</v>
      </c>
      <c r="AX380" s="1" t="s">
        <v>51</v>
      </c>
      <c r="AY380" s="1" t="s">
        <v>51</v>
      </c>
    </row>
    <row r="381" spans="1:51" ht="30" customHeight="1" x14ac:dyDescent="0.3">
      <c r="A381" s="6"/>
      <c r="B381" s="6"/>
      <c r="C381" s="6"/>
      <c r="D381" s="6"/>
      <c r="E381" s="11"/>
      <c r="F381" s="10"/>
      <c r="G381" s="11"/>
      <c r="H381" s="10"/>
      <c r="I381" s="11"/>
      <c r="J381" s="10"/>
      <c r="K381" s="11"/>
      <c r="L381" s="10"/>
      <c r="M381" s="6"/>
    </row>
    <row r="382" spans="1:51" ht="30" customHeight="1" x14ac:dyDescent="0.3">
      <c r="A382" s="37" t="s">
        <v>1202</v>
      </c>
      <c r="B382" s="37"/>
      <c r="C382" s="37"/>
      <c r="D382" s="37"/>
      <c r="E382" s="38"/>
      <c r="F382" s="39"/>
      <c r="G382" s="38"/>
      <c r="H382" s="39"/>
      <c r="I382" s="38"/>
      <c r="J382" s="39"/>
      <c r="K382" s="38"/>
      <c r="L382" s="39"/>
      <c r="M382" s="37"/>
      <c r="N382" s="1" t="s">
        <v>319</v>
      </c>
    </row>
    <row r="383" spans="1:51" ht="30" customHeight="1" x14ac:dyDescent="0.3">
      <c r="A383" s="5" t="s">
        <v>1203</v>
      </c>
      <c r="B383" s="5" t="s">
        <v>1204</v>
      </c>
      <c r="C383" s="5" t="s">
        <v>58</v>
      </c>
      <c r="D383" s="6">
        <v>1</v>
      </c>
      <c r="E383" s="11">
        <f>단가대비표!O90</f>
        <v>55000</v>
      </c>
      <c r="F383" s="10">
        <f>TRUNC(E383*D383,2)</f>
        <v>55000</v>
      </c>
      <c r="G383" s="11">
        <f>단가대비표!P90</f>
        <v>0</v>
      </c>
      <c r="H383" s="10">
        <f>TRUNC(G383*D383,2)</f>
        <v>0</v>
      </c>
      <c r="I383" s="11">
        <f>단가대비표!V90</f>
        <v>0</v>
      </c>
      <c r="J383" s="10">
        <f>TRUNC(I383*D383,2)</f>
        <v>0</v>
      </c>
      <c r="K383" s="11">
        <f t="shared" ref="K383:L385" si="93">TRUNC(E383+G383+I383,2)</f>
        <v>55000</v>
      </c>
      <c r="L383" s="10">
        <f t="shared" si="93"/>
        <v>55000</v>
      </c>
      <c r="M383" s="5" t="s">
        <v>51</v>
      </c>
      <c r="N383" s="1" t="s">
        <v>319</v>
      </c>
      <c r="O383" s="1" t="s">
        <v>1205</v>
      </c>
      <c r="P383" s="1" t="s">
        <v>60</v>
      </c>
      <c r="Q383" s="1" t="s">
        <v>60</v>
      </c>
      <c r="R383" s="1" t="s">
        <v>61</v>
      </c>
      <c r="AV383" s="1" t="s">
        <v>51</v>
      </c>
      <c r="AW383" s="1" t="s">
        <v>1206</v>
      </c>
      <c r="AX383" s="1" t="s">
        <v>51</v>
      </c>
      <c r="AY383" s="1" t="s">
        <v>51</v>
      </c>
    </row>
    <row r="384" spans="1:51" ht="30" customHeight="1" x14ac:dyDescent="0.3">
      <c r="A384" s="5" t="s">
        <v>769</v>
      </c>
      <c r="B384" s="5" t="s">
        <v>751</v>
      </c>
      <c r="C384" s="5" t="s">
        <v>752</v>
      </c>
      <c r="D384" s="6">
        <f>공량산출근거서!K187</f>
        <v>6.5000000000000002E-2</v>
      </c>
      <c r="E384" s="11">
        <f>단가대비표!O169</f>
        <v>0</v>
      </c>
      <c r="F384" s="10">
        <f>TRUNC(E384*D384,2)</f>
        <v>0</v>
      </c>
      <c r="G384" s="11">
        <f>단가대비표!P169</f>
        <v>273676</v>
      </c>
      <c r="H384" s="10">
        <f>TRUNC(G384*D384,2)</f>
        <v>17788.939999999999</v>
      </c>
      <c r="I384" s="11">
        <f>단가대비표!V169</f>
        <v>0</v>
      </c>
      <c r="J384" s="10">
        <f>TRUNC(I384*D384,2)</f>
        <v>0</v>
      </c>
      <c r="K384" s="11">
        <f t="shared" si="93"/>
        <v>273676</v>
      </c>
      <c r="L384" s="10">
        <f t="shared" si="93"/>
        <v>17788.939999999999</v>
      </c>
      <c r="M384" s="5" t="s">
        <v>51</v>
      </c>
      <c r="N384" s="1" t="s">
        <v>319</v>
      </c>
      <c r="O384" s="1" t="s">
        <v>770</v>
      </c>
      <c r="P384" s="1" t="s">
        <v>60</v>
      </c>
      <c r="Q384" s="1" t="s">
        <v>60</v>
      </c>
      <c r="R384" s="1" t="s">
        <v>61</v>
      </c>
      <c r="V384">
        <v>1</v>
      </c>
      <c r="AV384" s="1" t="s">
        <v>51</v>
      </c>
      <c r="AW384" s="1" t="s">
        <v>1207</v>
      </c>
      <c r="AX384" s="1" t="s">
        <v>51</v>
      </c>
      <c r="AY384" s="1" t="s">
        <v>51</v>
      </c>
    </row>
    <row r="385" spans="1:51" ht="30" customHeight="1" x14ac:dyDescent="0.3">
      <c r="A385" s="5" t="s">
        <v>758</v>
      </c>
      <c r="B385" s="5" t="s">
        <v>772</v>
      </c>
      <c r="C385" s="5" t="s">
        <v>631</v>
      </c>
      <c r="D385" s="6">
        <v>1</v>
      </c>
      <c r="E385" s="11">
        <f>TRUNC(SUMIF(V383:V385, RIGHTB(O385, 1), H383:H385)*U385, 2)</f>
        <v>533.66</v>
      </c>
      <c r="F385" s="10">
        <f>TRUNC(E385*D385,2)</f>
        <v>533.66</v>
      </c>
      <c r="G385" s="11">
        <v>0</v>
      </c>
      <c r="H385" s="10">
        <f>TRUNC(G385*D385,2)</f>
        <v>0</v>
      </c>
      <c r="I385" s="11">
        <v>0</v>
      </c>
      <c r="J385" s="10">
        <f>TRUNC(I385*D385,2)</f>
        <v>0</v>
      </c>
      <c r="K385" s="11">
        <f t="shared" si="93"/>
        <v>533.66</v>
      </c>
      <c r="L385" s="10">
        <f t="shared" si="93"/>
        <v>533.66</v>
      </c>
      <c r="M385" s="5" t="s">
        <v>51</v>
      </c>
      <c r="N385" s="1" t="s">
        <v>319</v>
      </c>
      <c r="O385" s="1" t="s">
        <v>657</v>
      </c>
      <c r="P385" s="1" t="s">
        <v>60</v>
      </c>
      <c r="Q385" s="1" t="s">
        <v>60</v>
      </c>
      <c r="R385" s="1" t="s">
        <v>60</v>
      </c>
      <c r="S385">
        <v>1</v>
      </c>
      <c r="T385">
        <v>0</v>
      </c>
      <c r="U385">
        <v>0.03</v>
      </c>
      <c r="AV385" s="1" t="s">
        <v>51</v>
      </c>
      <c r="AW385" s="1" t="s">
        <v>1208</v>
      </c>
      <c r="AX385" s="1" t="s">
        <v>51</v>
      </c>
      <c r="AY385" s="1" t="s">
        <v>51</v>
      </c>
    </row>
    <row r="386" spans="1:51" ht="30" customHeight="1" x14ac:dyDescent="0.3">
      <c r="A386" s="5" t="s">
        <v>762</v>
      </c>
      <c r="B386" s="5" t="s">
        <v>51</v>
      </c>
      <c r="C386" s="5" t="s">
        <v>51</v>
      </c>
      <c r="D386" s="6"/>
      <c r="E386" s="11"/>
      <c r="F386" s="10">
        <f>TRUNC(SUMIF(N383:N385, N382, F383:F385),0)</f>
        <v>55533</v>
      </c>
      <c r="G386" s="11"/>
      <c r="H386" s="10">
        <f>TRUNC(SUMIF(N383:N385, N382, H383:H385),0)</f>
        <v>17788</v>
      </c>
      <c r="I386" s="11"/>
      <c r="J386" s="10">
        <f>TRUNC(SUMIF(N383:N385, N382, J383:J385),0)</f>
        <v>0</v>
      </c>
      <c r="K386" s="11"/>
      <c r="L386" s="10">
        <f>F386+H386+J386</f>
        <v>73321</v>
      </c>
      <c r="M386" s="5" t="s">
        <v>51</v>
      </c>
      <c r="N386" s="1" t="s">
        <v>208</v>
      </c>
      <c r="O386" s="1" t="s">
        <v>208</v>
      </c>
      <c r="P386" s="1" t="s">
        <v>51</v>
      </c>
      <c r="Q386" s="1" t="s">
        <v>51</v>
      </c>
      <c r="R386" s="1" t="s">
        <v>51</v>
      </c>
      <c r="AV386" s="1" t="s">
        <v>51</v>
      </c>
      <c r="AW386" s="1" t="s">
        <v>51</v>
      </c>
      <c r="AX386" s="1" t="s">
        <v>51</v>
      </c>
      <c r="AY386" s="1" t="s">
        <v>51</v>
      </c>
    </row>
    <row r="387" spans="1:51" ht="30" customHeight="1" x14ac:dyDescent="0.3">
      <c r="A387" s="6"/>
      <c r="B387" s="6"/>
      <c r="C387" s="6"/>
      <c r="D387" s="6"/>
      <c r="E387" s="11"/>
      <c r="F387" s="10"/>
      <c r="G387" s="11"/>
      <c r="H387" s="10"/>
      <c r="I387" s="11"/>
      <c r="J387" s="10"/>
      <c r="K387" s="11"/>
      <c r="L387" s="10"/>
      <c r="M387" s="6"/>
    </row>
    <row r="388" spans="1:51" ht="30" customHeight="1" x14ac:dyDescent="0.3">
      <c r="A388" s="37" t="s">
        <v>1209</v>
      </c>
      <c r="B388" s="37"/>
      <c r="C388" s="37"/>
      <c r="D388" s="37"/>
      <c r="E388" s="38"/>
      <c r="F388" s="39"/>
      <c r="G388" s="38"/>
      <c r="H388" s="39"/>
      <c r="I388" s="38"/>
      <c r="J388" s="39"/>
      <c r="K388" s="38"/>
      <c r="L388" s="39"/>
      <c r="M388" s="37"/>
      <c r="N388" s="1" t="s">
        <v>327</v>
      </c>
    </row>
    <row r="389" spans="1:51" ht="30" customHeight="1" x14ac:dyDescent="0.3">
      <c r="A389" s="5" t="s">
        <v>160</v>
      </c>
      <c r="B389" s="5" t="s">
        <v>1210</v>
      </c>
      <c r="C389" s="5" t="s">
        <v>58</v>
      </c>
      <c r="D389" s="6">
        <v>1</v>
      </c>
      <c r="E389" s="11">
        <f>단가대비표!O74</f>
        <v>2861</v>
      </c>
      <c r="F389" s="10">
        <f>TRUNC(E389*D389,2)</f>
        <v>2861</v>
      </c>
      <c r="G389" s="11">
        <f>단가대비표!P74</f>
        <v>0</v>
      </c>
      <c r="H389" s="10">
        <f>TRUNC(G389*D389,2)</f>
        <v>0</v>
      </c>
      <c r="I389" s="11">
        <f>단가대비표!V74</f>
        <v>0</v>
      </c>
      <c r="J389" s="10">
        <f>TRUNC(I389*D389,2)</f>
        <v>0</v>
      </c>
      <c r="K389" s="11">
        <f t="shared" ref="K389:L391" si="94">TRUNC(E389+G389+I389,2)</f>
        <v>2861</v>
      </c>
      <c r="L389" s="10">
        <f t="shared" si="94"/>
        <v>2861</v>
      </c>
      <c r="M389" s="5" t="s">
        <v>51</v>
      </c>
      <c r="N389" s="1" t="s">
        <v>327</v>
      </c>
      <c r="O389" s="1" t="s">
        <v>1211</v>
      </c>
      <c r="P389" s="1" t="s">
        <v>60</v>
      </c>
      <c r="Q389" s="1" t="s">
        <v>60</v>
      </c>
      <c r="R389" s="1" t="s">
        <v>61</v>
      </c>
      <c r="AV389" s="1" t="s">
        <v>51</v>
      </c>
      <c r="AW389" s="1" t="s">
        <v>1212</v>
      </c>
      <c r="AX389" s="1" t="s">
        <v>51</v>
      </c>
      <c r="AY389" s="1" t="s">
        <v>51</v>
      </c>
    </row>
    <row r="390" spans="1:51" ht="30" customHeight="1" x14ac:dyDescent="0.3">
      <c r="A390" s="5" t="s">
        <v>769</v>
      </c>
      <c r="B390" s="5" t="s">
        <v>751</v>
      </c>
      <c r="C390" s="5" t="s">
        <v>752</v>
      </c>
      <c r="D390" s="6">
        <f>공량산출근거서!K190</f>
        <v>0.04</v>
      </c>
      <c r="E390" s="11">
        <f>단가대비표!O169</f>
        <v>0</v>
      </c>
      <c r="F390" s="10">
        <f>TRUNC(E390*D390,2)</f>
        <v>0</v>
      </c>
      <c r="G390" s="11">
        <f>단가대비표!P169</f>
        <v>273676</v>
      </c>
      <c r="H390" s="10">
        <f>TRUNC(G390*D390,2)</f>
        <v>10947.04</v>
      </c>
      <c r="I390" s="11">
        <f>단가대비표!V169</f>
        <v>0</v>
      </c>
      <c r="J390" s="10">
        <f>TRUNC(I390*D390,2)</f>
        <v>0</v>
      </c>
      <c r="K390" s="11">
        <f t="shared" si="94"/>
        <v>273676</v>
      </c>
      <c r="L390" s="10">
        <f t="shared" si="94"/>
        <v>10947.04</v>
      </c>
      <c r="M390" s="5" t="s">
        <v>51</v>
      </c>
      <c r="N390" s="1" t="s">
        <v>327</v>
      </c>
      <c r="O390" s="1" t="s">
        <v>770</v>
      </c>
      <c r="P390" s="1" t="s">
        <v>60</v>
      </c>
      <c r="Q390" s="1" t="s">
        <v>60</v>
      </c>
      <c r="R390" s="1" t="s">
        <v>61</v>
      </c>
      <c r="V390">
        <v>1</v>
      </c>
      <c r="AV390" s="1" t="s">
        <v>51</v>
      </c>
      <c r="AW390" s="1" t="s">
        <v>1213</v>
      </c>
      <c r="AX390" s="1" t="s">
        <v>51</v>
      </c>
      <c r="AY390" s="1" t="s">
        <v>51</v>
      </c>
    </row>
    <row r="391" spans="1:51" ht="30" customHeight="1" x14ac:dyDescent="0.3">
      <c r="A391" s="5" t="s">
        <v>758</v>
      </c>
      <c r="B391" s="5" t="s">
        <v>759</v>
      </c>
      <c r="C391" s="5" t="s">
        <v>631</v>
      </c>
      <c r="D391" s="6">
        <v>1</v>
      </c>
      <c r="E391" s="11">
        <f>TRUNC(SUMIF(V389:V391, RIGHTB(O391, 1), H389:H391)*U391, 2)</f>
        <v>328.41</v>
      </c>
      <c r="F391" s="10">
        <f>TRUNC(E391*D391,2)</f>
        <v>328.41</v>
      </c>
      <c r="G391" s="11">
        <v>0</v>
      </c>
      <c r="H391" s="10">
        <f>TRUNC(G391*D391,2)</f>
        <v>0</v>
      </c>
      <c r="I391" s="11">
        <v>0</v>
      </c>
      <c r="J391" s="10">
        <f>TRUNC(I391*D391,2)</f>
        <v>0</v>
      </c>
      <c r="K391" s="11">
        <f t="shared" si="94"/>
        <v>328.41</v>
      </c>
      <c r="L391" s="10">
        <f t="shared" si="94"/>
        <v>328.41</v>
      </c>
      <c r="M391" s="5" t="s">
        <v>51</v>
      </c>
      <c r="N391" s="1" t="s">
        <v>327</v>
      </c>
      <c r="O391" s="1" t="s">
        <v>657</v>
      </c>
      <c r="P391" s="1" t="s">
        <v>60</v>
      </c>
      <c r="Q391" s="1" t="s">
        <v>60</v>
      </c>
      <c r="R391" s="1" t="s">
        <v>60</v>
      </c>
      <c r="S391">
        <v>1</v>
      </c>
      <c r="T391">
        <v>0</v>
      </c>
      <c r="U391">
        <v>0.03</v>
      </c>
      <c r="AV391" s="1" t="s">
        <v>51</v>
      </c>
      <c r="AW391" s="1" t="s">
        <v>1214</v>
      </c>
      <c r="AX391" s="1" t="s">
        <v>51</v>
      </c>
      <c r="AY391" s="1" t="s">
        <v>51</v>
      </c>
    </row>
    <row r="392" spans="1:51" ht="30" customHeight="1" x14ac:dyDescent="0.3">
      <c r="A392" s="5" t="s">
        <v>762</v>
      </c>
      <c r="B392" s="5" t="s">
        <v>51</v>
      </c>
      <c r="C392" s="5" t="s">
        <v>51</v>
      </c>
      <c r="D392" s="6"/>
      <c r="E392" s="11"/>
      <c r="F392" s="10">
        <f>TRUNC(SUMIF(N389:N391, N388, F389:F391),0)</f>
        <v>3189</v>
      </c>
      <c r="G392" s="11"/>
      <c r="H392" s="10">
        <f>TRUNC(SUMIF(N389:N391, N388, H389:H391),0)</f>
        <v>10947</v>
      </c>
      <c r="I392" s="11"/>
      <c r="J392" s="10">
        <f>TRUNC(SUMIF(N389:N391, N388, J389:J391),0)</f>
        <v>0</v>
      </c>
      <c r="K392" s="11"/>
      <c r="L392" s="10">
        <f>F392+H392+J392</f>
        <v>14136</v>
      </c>
      <c r="M392" s="5" t="s">
        <v>51</v>
      </c>
      <c r="N392" s="1" t="s">
        <v>208</v>
      </c>
      <c r="O392" s="1" t="s">
        <v>208</v>
      </c>
      <c r="P392" s="1" t="s">
        <v>51</v>
      </c>
      <c r="Q392" s="1" t="s">
        <v>51</v>
      </c>
      <c r="R392" s="1" t="s">
        <v>51</v>
      </c>
      <c r="AV392" s="1" t="s">
        <v>51</v>
      </c>
      <c r="AW392" s="1" t="s">
        <v>51</v>
      </c>
      <c r="AX392" s="1" t="s">
        <v>51</v>
      </c>
      <c r="AY392" s="1" t="s">
        <v>51</v>
      </c>
    </row>
    <row r="393" spans="1:51" ht="30" customHeight="1" x14ac:dyDescent="0.3">
      <c r="A393" s="6"/>
      <c r="B393" s="6"/>
      <c r="C393" s="6"/>
      <c r="D393" s="6"/>
      <c r="E393" s="11"/>
      <c r="F393" s="10"/>
      <c r="G393" s="11"/>
      <c r="H393" s="10"/>
      <c r="I393" s="11"/>
      <c r="J393" s="10"/>
      <c r="K393" s="11"/>
      <c r="L393" s="10"/>
      <c r="M393" s="6"/>
    </row>
    <row r="394" spans="1:51" ht="30" customHeight="1" x14ac:dyDescent="0.3">
      <c r="A394" s="37" t="s">
        <v>1215</v>
      </c>
      <c r="B394" s="37"/>
      <c r="C394" s="37"/>
      <c r="D394" s="37"/>
      <c r="E394" s="38"/>
      <c r="F394" s="39"/>
      <c r="G394" s="38"/>
      <c r="H394" s="39"/>
      <c r="I394" s="38"/>
      <c r="J394" s="39"/>
      <c r="K394" s="38"/>
      <c r="L394" s="39"/>
      <c r="M394" s="37"/>
      <c r="N394" s="1" t="s">
        <v>341</v>
      </c>
    </row>
    <row r="395" spans="1:51" ht="30" customHeight="1" x14ac:dyDescent="0.3">
      <c r="A395" s="5" t="s">
        <v>338</v>
      </c>
      <c r="B395" s="5" t="s">
        <v>1216</v>
      </c>
      <c r="C395" s="5" t="s">
        <v>58</v>
      </c>
      <c r="D395" s="6">
        <v>1</v>
      </c>
      <c r="E395" s="11">
        <f>단가대비표!O83</f>
        <v>54967</v>
      </c>
      <c r="F395" s="10">
        <f>TRUNC(E395*D395,2)</f>
        <v>54967</v>
      </c>
      <c r="G395" s="11">
        <f>단가대비표!P83</f>
        <v>0</v>
      </c>
      <c r="H395" s="10">
        <f>TRUNC(G395*D395,2)</f>
        <v>0</v>
      </c>
      <c r="I395" s="11">
        <f>단가대비표!V83</f>
        <v>0</v>
      </c>
      <c r="J395" s="10">
        <f>TRUNC(I395*D395,2)</f>
        <v>0</v>
      </c>
      <c r="K395" s="11">
        <f t="shared" ref="K395:L397" si="95">TRUNC(E395+G395+I395,2)</f>
        <v>54967</v>
      </c>
      <c r="L395" s="10">
        <f t="shared" si="95"/>
        <v>54967</v>
      </c>
      <c r="M395" s="5" t="s">
        <v>51</v>
      </c>
      <c r="N395" s="1" t="s">
        <v>341</v>
      </c>
      <c r="O395" s="1" t="s">
        <v>1217</v>
      </c>
      <c r="P395" s="1" t="s">
        <v>60</v>
      </c>
      <c r="Q395" s="1" t="s">
        <v>60</v>
      </c>
      <c r="R395" s="1" t="s">
        <v>61</v>
      </c>
      <c r="AV395" s="1" t="s">
        <v>51</v>
      </c>
      <c r="AW395" s="1" t="s">
        <v>1218</v>
      </c>
      <c r="AX395" s="1" t="s">
        <v>51</v>
      </c>
      <c r="AY395" s="1" t="s">
        <v>51</v>
      </c>
    </row>
    <row r="396" spans="1:51" ht="30" customHeight="1" x14ac:dyDescent="0.3">
      <c r="A396" s="5" t="s">
        <v>769</v>
      </c>
      <c r="B396" s="5" t="s">
        <v>751</v>
      </c>
      <c r="C396" s="5" t="s">
        <v>752</v>
      </c>
      <c r="D396" s="6">
        <f>공량산출근거서!K193</f>
        <v>0.36899999999999999</v>
      </c>
      <c r="E396" s="11">
        <f>단가대비표!O169</f>
        <v>0</v>
      </c>
      <c r="F396" s="10">
        <f>TRUNC(E396*D396,2)</f>
        <v>0</v>
      </c>
      <c r="G396" s="11">
        <f>단가대비표!P169</f>
        <v>273676</v>
      </c>
      <c r="H396" s="10">
        <f>TRUNC(G396*D396,2)</f>
        <v>100986.44</v>
      </c>
      <c r="I396" s="11">
        <f>단가대비표!V169</f>
        <v>0</v>
      </c>
      <c r="J396" s="10">
        <f>TRUNC(I396*D396,2)</f>
        <v>0</v>
      </c>
      <c r="K396" s="11">
        <f t="shared" si="95"/>
        <v>273676</v>
      </c>
      <c r="L396" s="10">
        <f t="shared" si="95"/>
        <v>100986.44</v>
      </c>
      <c r="M396" s="5" t="s">
        <v>51</v>
      </c>
      <c r="N396" s="1" t="s">
        <v>341</v>
      </c>
      <c r="O396" s="1" t="s">
        <v>770</v>
      </c>
      <c r="P396" s="1" t="s">
        <v>60</v>
      </c>
      <c r="Q396" s="1" t="s">
        <v>60</v>
      </c>
      <c r="R396" s="1" t="s">
        <v>61</v>
      </c>
      <c r="V396">
        <v>1</v>
      </c>
      <c r="AV396" s="1" t="s">
        <v>51</v>
      </c>
      <c r="AW396" s="1" t="s">
        <v>1219</v>
      </c>
      <c r="AX396" s="1" t="s">
        <v>51</v>
      </c>
      <c r="AY396" s="1" t="s">
        <v>51</v>
      </c>
    </row>
    <row r="397" spans="1:51" ht="30" customHeight="1" x14ac:dyDescent="0.3">
      <c r="A397" s="5" t="s">
        <v>758</v>
      </c>
      <c r="B397" s="5" t="s">
        <v>759</v>
      </c>
      <c r="C397" s="5" t="s">
        <v>631</v>
      </c>
      <c r="D397" s="6">
        <v>1</v>
      </c>
      <c r="E397" s="11">
        <f>TRUNC(SUMIF(V395:V397, RIGHTB(O397, 1), H395:H397)*U397, 2)</f>
        <v>3029.59</v>
      </c>
      <c r="F397" s="10">
        <f>TRUNC(E397*D397,2)</f>
        <v>3029.59</v>
      </c>
      <c r="G397" s="11">
        <v>0</v>
      </c>
      <c r="H397" s="10">
        <f>TRUNC(G397*D397,2)</f>
        <v>0</v>
      </c>
      <c r="I397" s="11">
        <v>0</v>
      </c>
      <c r="J397" s="10">
        <f>TRUNC(I397*D397,2)</f>
        <v>0</v>
      </c>
      <c r="K397" s="11">
        <f t="shared" si="95"/>
        <v>3029.59</v>
      </c>
      <c r="L397" s="10">
        <f t="shared" si="95"/>
        <v>3029.59</v>
      </c>
      <c r="M397" s="5" t="s">
        <v>51</v>
      </c>
      <c r="N397" s="1" t="s">
        <v>341</v>
      </c>
      <c r="O397" s="1" t="s">
        <v>657</v>
      </c>
      <c r="P397" s="1" t="s">
        <v>60</v>
      </c>
      <c r="Q397" s="1" t="s">
        <v>60</v>
      </c>
      <c r="R397" s="1" t="s">
        <v>60</v>
      </c>
      <c r="S397">
        <v>1</v>
      </c>
      <c r="T397">
        <v>0</v>
      </c>
      <c r="U397">
        <v>0.03</v>
      </c>
      <c r="AV397" s="1" t="s">
        <v>51</v>
      </c>
      <c r="AW397" s="1" t="s">
        <v>1220</v>
      </c>
      <c r="AX397" s="1" t="s">
        <v>51</v>
      </c>
      <c r="AY397" s="1" t="s">
        <v>51</v>
      </c>
    </row>
    <row r="398" spans="1:51" ht="30" customHeight="1" x14ac:dyDescent="0.3">
      <c r="A398" s="5" t="s">
        <v>762</v>
      </c>
      <c r="B398" s="5" t="s">
        <v>51</v>
      </c>
      <c r="C398" s="5" t="s">
        <v>51</v>
      </c>
      <c r="D398" s="6"/>
      <c r="E398" s="11"/>
      <c r="F398" s="10">
        <f>TRUNC(SUMIF(N395:N397, N394, F395:F397),0)</f>
        <v>57996</v>
      </c>
      <c r="G398" s="11"/>
      <c r="H398" s="10">
        <f>TRUNC(SUMIF(N395:N397, N394, H395:H397),0)</f>
        <v>100986</v>
      </c>
      <c r="I398" s="11"/>
      <c r="J398" s="10">
        <f>TRUNC(SUMIF(N395:N397, N394, J395:J397),0)</f>
        <v>0</v>
      </c>
      <c r="K398" s="11"/>
      <c r="L398" s="10">
        <f>F398+H398+J398</f>
        <v>158982</v>
      </c>
      <c r="M398" s="5" t="s">
        <v>51</v>
      </c>
      <c r="N398" s="1" t="s">
        <v>208</v>
      </c>
      <c r="O398" s="1" t="s">
        <v>208</v>
      </c>
      <c r="P398" s="1" t="s">
        <v>51</v>
      </c>
      <c r="Q398" s="1" t="s">
        <v>51</v>
      </c>
      <c r="R398" s="1" t="s">
        <v>51</v>
      </c>
      <c r="AV398" s="1" t="s">
        <v>51</v>
      </c>
      <c r="AW398" s="1" t="s">
        <v>51</v>
      </c>
      <c r="AX398" s="1" t="s">
        <v>51</v>
      </c>
      <c r="AY398" s="1" t="s">
        <v>51</v>
      </c>
    </row>
    <row r="399" spans="1:51" ht="30" customHeight="1" x14ac:dyDescent="0.3">
      <c r="A399" s="6"/>
      <c r="B399" s="6"/>
      <c r="C399" s="6"/>
      <c r="D399" s="6"/>
      <c r="E399" s="11"/>
      <c r="F399" s="10"/>
      <c r="G399" s="11"/>
      <c r="H399" s="10"/>
      <c r="I399" s="11"/>
      <c r="J399" s="10"/>
      <c r="K399" s="11"/>
      <c r="L399" s="10"/>
      <c r="M399" s="6"/>
    </row>
    <row r="400" spans="1:51" ht="30" customHeight="1" x14ac:dyDescent="0.3">
      <c r="A400" s="37" t="s">
        <v>1221</v>
      </c>
      <c r="B400" s="37"/>
      <c r="C400" s="37"/>
      <c r="D400" s="37"/>
      <c r="E400" s="38"/>
      <c r="F400" s="39"/>
      <c r="G400" s="38"/>
      <c r="H400" s="39"/>
      <c r="I400" s="38"/>
      <c r="J400" s="39"/>
      <c r="K400" s="38"/>
      <c r="L400" s="39"/>
      <c r="M400" s="37"/>
      <c r="N400" s="1" t="s">
        <v>360</v>
      </c>
    </row>
    <row r="401" spans="1:51" ht="30" customHeight="1" x14ac:dyDescent="0.3">
      <c r="A401" s="5" t="s">
        <v>357</v>
      </c>
      <c r="B401" s="5" t="s">
        <v>1222</v>
      </c>
      <c r="C401" s="5" t="s">
        <v>58</v>
      </c>
      <c r="D401" s="6">
        <v>1</v>
      </c>
      <c r="E401" s="11">
        <f>단가대비표!O138</f>
        <v>544</v>
      </c>
      <c r="F401" s="10">
        <f t="shared" ref="F401:F406" si="96">TRUNC(E401*D401,2)</f>
        <v>544</v>
      </c>
      <c r="G401" s="11">
        <f>단가대비표!P138</f>
        <v>0</v>
      </c>
      <c r="H401" s="10">
        <f t="shared" ref="H401:H406" si="97">TRUNC(G401*D401,2)</f>
        <v>0</v>
      </c>
      <c r="I401" s="11">
        <f>단가대비표!V138</f>
        <v>0</v>
      </c>
      <c r="J401" s="10">
        <f t="shared" ref="J401:J406" si="98">TRUNC(I401*D401,2)</f>
        <v>0</v>
      </c>
      <c r="K401" s="11">
        <f t="shared" ref="K401:L406" si="99">TRUNC(E401+G401+I401,2)</f>
        <v>544</v>
      </c>
      <c r="L401" s="10">
        <f t="shared" si="99"/>
        <v>544</v>
      </c>
      <c r="M401" s="5" t="s">
        <v>51</v>
      </c>
      <c r="N401" s="1" t="s">
        <v>360</v>
      </c>
      <c r="O401" s="1" t="s">
        <v>1223</v>
      </c>
      <c r="P401" s="1" t="s">
        <v>60</v>
      </c>
      <c r="Q401" s="1" t="s">
        <v>60</v>
      </c>
      <c r="R401" s="1" t="s">
        <v>61</v>
      </c>
      <c r="V401">
        <v>1</v>
      </c>
      <c r="W401">
        <v>2</v>
      </c>
      <c r="AV401" s="1" t="s">
        <v>51</v>
      </c>
      <c r="AW401" s="1" t="s">
        <v>1224</v>
      </c>
      <c r="AX401" s="1" t="s">
        <v>51</v>
      </c>
      <c r="AY401" s="1" t="s">
        <v>51</v>
      </c>
    </row>
    <row r="402" spans="1:51" ht="30" customHeight="1" x14ac:dyDescent="0.3">
      <c r="A402" s="5" t="s">
        <v>357</v>
      </c>
      <c r="B402" s="5" t="s">
        <v>1222</v>
      </c>
      <c r="C402" s="5" t="s">
        <v>58</v>
      </c>
      <c r="D402" s="6">
        <v>0.1</v>
      </c>
      <c r="E402" s="11">
        <f>단가대비표!O138</f>
        <v>544</v>
      </c>
      <c r="F402" s="10">
        <f t="shared" si="96"/>
        <v>54.4</v>
      </c>
      <c r="G402" s="11">
        <f>단가대비표!P138</f>
        <v>0</v>
      </c>
      <c r="H402" s="10">
        <f t="shared" si="97"/>
        <v>0</v>
      </c>
      <c r="I402" s="11">
        <f>단가대비표!V138</f>
        <v>0</v>
      </c>
      <c r="J402" s="10">
        <f t="shared" si="98"/>
        <v>0</v>
      </c>
      <c r="K402" s="11">
        <f t="shared" si="99"/>
        <v>544</v>
      </c>
      <c r="L402" s="10">
        <f t="shared" si="99"/>
        <v>54.4</v>
      </c>
      <c r="M402" s="5" t="s">
        <v>51</v>
      </c>
      <c r="N402" s="1" t="s">
        <v>360</v>
      </c>
      <c r="O402" s="1" t="s">
        <v>1223</v>
      </c>
      <c r="P402" s="1" t="s">
        <v>60</v>
      </c>
      <c r="Q402" s="1" t="s">
        <v>60</v>
      </c>
      <c r="R402" s="1" t="s">
        <v>61</v>
      </c>
      <c r="AV402" s="1" t="s">
        <v>51</v>
      </c>
      <c r="AW402" s="1" t="s">
        <v>1224</v>
      </c>
      <c r="AX402" s="1" t="s">
        <v>51</v>
      </c>
      <c r="AY402" s="1" t="s">
        <v>51</v>
      </c>
    </row>
    <row r="403" spans="1:51" ht="30" customHeight="1" x14ac:dyDescent="0.3">
      <c r="A403" s="5" t="s">
        <v>743</v>
      </c>
      <c r="B403" s="5" t="s">
        <v>744</v>
      </c>
      <c r="C403" s="5" t="s">
        <v>631</v>
      </c>
      <c r="D403" s="6">
        <v>1</v>
      </c>
      <c r="E403" s="11">
        <f>TRUNC(SUMIF(V401:V406, RIGHTB(O403, 1), F401:F406)*U403, 2)</f>
        <v>81.599999999999994</v>
      </c>
      <c r="F403" s="10">
        <f t="shared" si="96"/>
        <v>81.599999999999994</v>
      </c>
      <c r="G403" s="11">
        <v>0</v>
      </c>
      <c r="H403" s="10">
        <f t="shared" si="97"/>
        <v>0</v>
      </c>
      <c r="I403" s="11">
        <v>0</v>
      </c>
      <c r="J403" s="10">
        <f t="shared" si="98"/>
        <v>0</v>
      </c>
      <c r="K403" s="11">
        <f t="shared" si="99"/>
        <v>81.599999999999994</v>
      </c>
      <c r="L403" s="10">
        <f t="shared" si="99"/>
        <v>81.599999999999994</v>
      </c>
      <c r="M403" s="5" t="s">
        <v>51</v>
      </c>
      <c r="N403" s="1" t="s">
        <v>360</v>
      </c>
      <c r="O403" s="1" t="s">
        <v>657</v>
      </c>
      <c r="P403" s="1" t="s">
        <v>60</v>
      </c>
      <c r="Q403" s="1" t="s">
        <v>60</v>
      </c>
      <c r="R403" s="1" t="s">
        <v>60</v>
      </c>
      <c r="S403">
        <v>0</v>
      </c>
      <c r="T403">
        <v>0</v>
      </c>
      <c r="U403">
        <v>0.15</v>
      </c>
      <c r="AV403" s="1" t="s">
        <v>51</v>
      </c>
      <c r="AW403" s="1" t="s">
        <v>1225</v>
      </c>
      <c r="AX403" s="1" t="s">
        <v>51</v>
      </c>
      <c r="AY403" s="1" t="s">
        <v>51</v>
      </c>
    </row>
    <row r="404" spans="1:51" ht="30" customHeight="1" x14ac:dyDescent="0.3">
      <c r="A404" s="5" t="s">
        <v>746</v>
      </c>
      <c r="B404" s="5" t="s">
        <v>786</v>
      </c>
      <c r="C404" s="5" t="s">
        <v>631</v>
      </c>
      <c r="D404" s="6">
        <v>1</v>
      </c>
      <c r="E404" s="11">
        <f>TRUNC(SUMIF(W401:W406, RIGHTB(O404, 1), F401:F406)*U404, 2)</f>
        <v>10.88</v>
      </c>
      <c r="F404" s="10">
        <f t="shared" si="96"/>
        <v>10.88</v>
      </c>
      <c r="G404" s="11">
        <v>0</v>
      </c>
      <c r="H404" s="10">
        <f t="shared" si="97"/>
        <v>0</v>
      </c>
      <c r="I404" s="11">
        <v>0</v>
      </c>
      <c r="J404" s="10">
        <f t="shared" si="98"/>
        <v>0</v>
      </c>
      <c r="K404" s="11">
        <f t="shared" si="99"/>
        <v>10.88</v>
      </c>
      <c r="L404" s="10">
        <f t="shared" si="99"/>
        <v>10.88</v>
      </c>
      <c r="M404" s="5" t="s">
        <v>51</v>
      </c>
      <c r="N404" s="1" t="s">
        <v>360</v>
      </c>
      <c r="O404" s="1" t="s">
        <v>748</v>
      </c>
      <c r="P404" s="1" t="s">
        <v>60</v>
      </c>
      <c r="Q404" s="1" t="s">
        <v>60</v>
      </c>
      <c r="R404" s="1" t="s">
        <v>60</v>
      </c>
      <c r="S404">
        <v>0</v>
      </c>
      <c r="T404">
        <v>0</v>
      </c>
      <c r="U404">
        <v>0.02</v>
      </c>
      <c r="AV404" s="1" t="s">
        <v>51</v>
      </c>
      <c r="AW404" s="1" t="s">
        <v>1226</v>
      </c>
      <c r="AX404" s="1" t="s">
        <v>51</v>
      </c>
      <c r="AY404" s="1" t="s">
        <v>51</v>
      </c>
    </row>
    <row r="405" spans="1:51" ht="30" customHeight="1" x14ac:dyDescent="0.3">
      <c r="A405" s="5" t="s">
        <v>769</v>
      </c>
      <c r="B405" s="5" t="s">
        <v>751</v>
      </c>
      <c r="C405" s="5" t="s">
        <v>752</v>
      </c>
      <c r="D405" s="6">
        <f>공량산출근거서!K197</f>
        <v>3.9600000000000003E-2</v>
      </c>
      <c r="E405" s="11">
        <f>단가대비표!O169</f>
        <v>0</v>
      </c>
      <c r="F405" s="10">
        <f t="shared" si="96"/>
        <v>0</v>
      </c>
      <c r="G405" s="11">
        <f>단가대비표!P169</f>
        <v>273676</v>
      </c>
      <c r="H405" s="10">
        <f t="shared" si="97"/>
        <v>10837.56</v>
      </c>
      <c r="I405" s="11">
        <f>단가대비표!V169</f>
        <v>0</v>
      </c>
      <c r="J405" s="10">
        <f t="shared" si="98"/>
        <v>0</v>
      </c>
      <c r="K405" s="11">
        <f t="shared" si="99"/>
        <v>273676</v>
      </c>
      <c r="L405" s="10">
        <f t="shared" si="99"/>
        <v>10837.56</v>
      </c>
      <c r="M405" s="5" t="s">
        <v>51</v>
      </c>
      <c r="N405" s="1" t="s">
        <v>360</v>
      </c>
      <c r="O405" s="1" t="s">
        <v>770</v>
      </c>
      <c r="P405" s="1" t="s">
        <v>60</v>
      </c>
      <c r="Q405" s="1" t="s">
        <v>60</v>
      </c>
      <c r="R405" s="1" t="s">
        <v>61</v>
      </c>
      <c r="X405">
        <v>3</v>
      </c>
      <c r="AV405" s="1" t="s">
        <v>51</v>
      </c>
      <c r="AW405" s="1" t="s">
        <v>1227</v>
      </c>
      <c r="AX405" s="1" t="s">
        <v>51</v>
      </c>
      <c r="AY405" s="1" t="s">
        <v>51</v>
      </c>
    </row>
    <row r="406" spans="1:51" ht="30" customHeight="1" x14ac:dyDescent="0.3">
      <c r="A406" s="5" t="s">
        <v>758</v>
      </c>
      <c r="B406" s="5" t="s">
        <v>759</v>
      </c>
      <c r="C406" s="5" t="s">
        <v>631</v>
      </c>
      <c r="D406" s="6">
        <v>1</v>
      </c>
      <c r="E406" s="11">
        <f>TRUNC(SUMIF(X401:X406, RIGHTB(O406, 1), H401:H406)*U406, 2)</f>
        <v>325.12</v>
      </c>
      <c r="F406" s="10">
        <f t="shared" si="96"/>
        <v>325.12</v>
      </c>
      <c r="G406" s="11">
        <v>0</v>
      </c>
      <c r="H406" s="10">
        <f t="shared" si="97"/>
        <v>0</v>
      </c>
      <c r="I406" s="11">
        <v>0</v>
      </c>
      <c r="J406" s="10">
        <f t="shared" si="98"/>
        <v>0</v>
      </c>
      <c r="K406" s="11">
        <f t="shared" si="99"/>
        <v>325.12</v>
      </c>
      <c r="L406" s="10">
        <f t="shared" si="99"/>
        <v>325.12</v>
      </c>
      <c r="M406" s="5" t="s">
        <v>51</v>
      </c>
      <c r="N406" s="1" t="s">
        <v>360</v>
      </c>
      <c r="O406" s="1" t="s">
        <v>760</v>
      </c>
      <c r="P406" s="1" t="s">
        <v>60</v>
      </c>
      <c r="Q406" s="1" t="s">
        <v>60</v>
      </c>
      <c r="R406" s="1" t="s">
        <v>60</v>
      </c>
      <c r="S406">
        <v>1</v>
      </c>
      <c r="T406">
        <v>0</v>
      </c>
      <c r="U406">
        <v>0.03</v>
      </c>
      <c r="AV406" s="1" t="s">
        <v>51</v>
      </c>
      <c r="AW406" s="1" t="s">
        <v>1228</v>
      </c>
      <c r="AX406" s="1" t="s">
        <v>51</v>
      </c>
      <c r="AY406" s="1" t="s">
        <v>51</v>
      </c>
    </row>
    <row r="407" spans="1:51" ht="30" customHeight="1" x14ac:dyDescent="0.3">
      <c r="A407" s="5" t="s">
        <v>762</v>
      </c>
      <c r="B407" s="5" t="s">
        <v>51</v>
      </c>
      <c r="C407" s="5" t="s">
        <v>51</v>
      </c>
      <c r="D407" s="6"/>
      <c r="E407" s="11"/>
      <c r="F407" s="10">
        <f>TRUNC(SUMIF(N401:N406, N400, F401:F406),0)</f>
        <v>1016</v>
      </c>
      <c r="G407" s="11"/>
      <c r="H407" s="10">
        <f>TRUNC(SUMIF(N401:N406, N400, H401:H406),0)</f>
        <v>10837</v>
      </c>
      <c r="I407" s="11"/>
      <c r="J407" s="10">
        <f>TRUNC(SUMIF(N401:N406, N400, J401:J406),0)</f>
        <v>0</v>
      </c>
      <c r="K407" s="11"/>
      <c r="L407" s="10">
        <f>F407+H407+J407</f>
        <v>11853</v>
      </c>
      <c r="M407" s="5" t="s">
        <v>51</v>
      </c>
      <c r="N407" s="1" t="s">
        <v>208</v>
      </c>
      <c r="O407" s="1" t="s">
        <v>208</v>
      </c>
      <c r="P407" s="1" t="s">
        <v>51</v>
      </c>
      <c r="Q407" s="1" t="s">
        <v>51</v>
      </c>
      <c r="R407" s="1" t="s">
        <v>51</v>
      </c>
      <c r="AV407" s="1" t="s">
        <v>51</v>
      </c>
      <c r="AW407" s="1" t="s">
        <v>51</v>
      </c>
      <c r="AX407" s="1" t="s">
        <v>51</v>
      </c>
      <c r="AY407" s="1" t="s">
        <v>51</v>
      </c>
    </row>
    <row r="408" spans="1:51" ht="30" customHeight="1" x14ac:dyDescent="0.3">
      <c r="A408" s="6"/>
      <c r="B408" s="6"/>
      <c r="C408" s="6"/>
      <c r="D408" s="6"/>
      <c r="E408" s="11"/>
      <c r="F408" s="10"/>
      <c r="G408" s="11"/>
      <c r="H408" s="10"/>
      <c r="I408" s="11"/>
      <c r="J408" s="10"/>
      <c r="K408" s="11"/>
      <c r="L408" s="10"/>
      <c r="M408" s="6"/>
    </row>
    <row r="409" spans="1:51" ht="30" customHeight="1" x14ac:dyDescent="0.3">
      <c r="A409" s="37" t="s">
        <v>1229</v>
      </c>
      <c r="B409" s="37"/>
      <c r="C409" s="37"/>
      <c r="D409" s="37"/>
      <c r="E409" s="38"/>
      <c r="F409" s="39"/>
      <c r="G409" s="38"/>
      <c r="H409" s="39"/>
      <c r="I409" s="38"/>
      <c r="J409" s="39"/>
      <c r="K409" s="38"/>
      <c r="L409" s="39"/>
      <c r="M409" s="37"/>
      <c r="N409" s="1" t="s">
        <v>365</v>
      </c>
    </row>
    <row r="410" spans="1:51" ht="30" customHeight="1" x14ac:dyDescent="0.3">
      <c r="A410" s="5" t="s">
        <v>1155</v>
      </c>
      <c r="B410" s="5" t="s">
        <v>1230</v>
      </c>
      <c r="C410" s="5" t="s">
        <v>65</v>
      </c>
      <c r="D410" s="6">
        <v>1</v>
      </c>
      <c r="E410" s="11">
        <f>단가대비표!O137</f>
        <v>160</v>
      </c>
      <c r="F410" s="10">
        <f t="shared" ref="F410:F415" si="100">TRUNC(E410*D410,2)</f>
        <v>160</v>
      </c>
      <c r="G410" s="11">
        <f>단가대비표!P137</f>
        <v>0</v>
      </c>
      <c r="H410" s="10">
        <f t="shared" ref="H410:H415" si="101">TRUNC(G410*D410,2)</f>
        <v>0</v>
      </c>
      <c r="I410" s="11">
        <f>단가대비표!V137</f>
        <v>0</v>
      </c>
      <c r="J410" s="10">
        <f t="shared" ref="J410:J415" si="102">TRUNC(I410*D410,2)</f>
        <v>0</v>
      </c>
      <c r="K410" s="11">
        <f t="shared" ref="K410:L415" si="103">TRUNC(E410+G410+I410,2)</f>
        <v>160</v>
      </c>
      <c r="L410" s="10">
        <f t="shared" si="103"/>
        <v>160</v>
      </c>
      <c r="M410" s="5" t="s">
        <v>51</v>
      </c>
      <c r="N410" s="1" t="s">
        <v>365</v>
      </c>
      <c r="O410" s="1" t="s">
        <v>1231</v>
      </c>
      <c r="P410" s="1" t="s">
        <v>60</v>
      </c>
      <c r="Q410" s="1" t="s">
        <v>60</v>
      </c>
      <c r="R410" s="1" t="s">
        <v>61</v>
      </c>
      <c r="V410">
        <v>1</v>
      </c>
      <c r="W410">
        <v>2</v>
      </c>
      <c r="AV410" s="1" t="s">
        <v>51</v>
      </c>
      <c r="AW410" s="1" t="s">
        <v>1232</v>
      </c>
      <c r="AX410" s="1" t="s">
        <v>51</v>
      </c>
      <c r="AY410" s="1" t="s">
        <v>51</v>
      </c>
    </row>
    <row r="411" spans="1:51" ht="30" customHeight="1" x14ac:dyDescent="0.3">
      <c r="A411" s="5" t="s">
        <v>1155</v>
      </c>
      <c r="B411" s="5" t="s">
        <v>1230</v>
      </c>
      <c r="C411" s="5" t="s">
        <v>65</v>
      </c>
      <c r="D411" s="6">
        <v>0.1</v>
      </c>
      <c r="E411" s="11">
        <f>단가대비표!O137</f>
        <v>160</v>
      </c>
      <c r="F411" s="10">
        <f t="shared" si="100"/>
        <v>16</v>
      </c>
      <c r="G411" s="11">
        <f>단가대비표!P137</f>
        <v>0</v>
      </c>
      <c r="H411" s="10">
        <f t="shared" si="101"/>
        <v>0</v>
      </c>
      <c r="I411" s="11">
        <f>단가대비표!V137</f>
        <v>0</v>
      </c>
      <c r="J411" s="10">
        <f t="shared" si="102"/>
        <v>0</v>
      </c>
      <c r="K411" s="11">
        <f t="shared" si="103"/>
        <v>160</v>
      </c>
      <c r="L411" s="10">
        <f t="shared" si="103"/>
        <v>16</v>
      </c>
      <c r="M411" s="5" t="s">
        <v>51</v>
      </c>
      <c r="N411" s="1" t="s">
        <v>365</v>
      </c>
      <c r="O411" s="1" t="s">
        <v>1231</v>
      </c>
      <c r="P411" s="1" t="s">
        <v>60</v>
      </c>
      <c r="Q411" s="1" t="s">
        <v>60</v>
      </c>
      <c r="R411" s="1" t="s">
        <v>61</v>
      </c>
      <c r="V411">
        <v>1</v>
      </c>
      <c r="AV411" s="1" t="s">
        <v>51</v>
      </c>
      <c r="AW411" s="1" t="s">
        <v>1232</v>
      </c>
      <c r="AX411" s="1" t="s">
        <v>51</v>
      </c>
      <c r="AY411" s="1" t="s">
        <v>51</v>
      </c>
    </row>
    <row r="412" spans="1:51" ht="30" customHeight="1" x14ac:dyDescent="0.3">
      <c r="A412" s="5" t="s">
        <v>746</v>
      </c>
      <c r="B412" s="5" t="s">
        <v>786</v>
      </c>
      <c r="C412" s="5" t="s">
        <v>631</v>
      </c>
      <c r="D412" s="6">
        <v>1</v>
      </c>
      <c r="E412" s="11">
        <f>TRUNC(SUMIF(V410:V415, RIGHTB(O412, 1), F410:F415)*U412, 2)</f>
        <v>3.52</v>
      </c>
      <c r="F412" s="10">
        <f t="shared" si="100"/>
        <v>3.52</v>
      </c>
      <c r="G412" s="11">
        <v>0</v>
      </c>
      <c r="H412" s="10">
        <f t="shared" si="101"/>
        <v>0</v>
      </c>
      <c r="I412" s="11">
        <v>0</v>
      </c>
      <c r="J412" s="10">
        <f t="shared" si="102"/>
        <v>0</v>
      </c>
      <c r="K412" s="11">
        <f t="shared" si="103"/>
        <v>3.52</v>
      </c>
      <c r="L412" s="10">
        <f t="shared" si="103"/>
        <v>3.52</v>
      </c>
      <c r="M412" s="5" t="s">
        <v>51</v>
      </c>
      <c r="N412" s="1" t="s">
        <v>365</v>
      </c>
      <c r="O412" s="1" t="s">
        <v>657</v>
      </c>
      <c r="P412" s="1" t="s">
        <v>60</v>
      </c>
      <c r="Q412" s="1" t="s">
        <v>60</v>
      </c>
      <c r="R412" s="1" t="s">
        <v>60</v>
      </c>
      <c r="S412">
        <v>0</v>
      </c>
      <c r="T412">
        <v>0</v>
      </c>
      <c r="U412">
        <v>0.02</v>
      </c>
      <c r="AV412" s="1" t="s">
        <v>51</v>
      </c>
      <c r="AW412" s="1" t="s">
        <v>1233</v>
      </c>
      <c r="AX412" s="1" t="s">
        <v>51</v>
      </c>
      <c r="AY412" s="1" t="s">
        <v>51</v>
      </c>
    </row>
    <row r="413" spans="1:51" ht="30" customHeight="1" x14ac:dyDescent="0.3">
      <c r="A413" s="5" t="s">
        <v>743</v>
      </c>
      <c r="B413" s="5" t="s">
        <v>1160</v>
      </c>
      <c r="C413" s="5" t="s">
        <v>631</v>
      </c>
      <c r="D413" s="6">
        <v>1</v>
      </c>
      <c r="E413" s="11">
        <f>TRUNC(SUMIF(W410:W415, RIGHTB(O413, 1), F410:F415)*U413, 2)</f>
        <v>64</v>
      </c>
      <c r="F413" s="10">
        <f t="shared" si="100"/>
        <v>64</v>
      </c>
      <c r="G413" s="11">
        <v>0</v>
      </c>
      <c r="H413" s="10">
        <f t="shared" si="101"/>
        <v>0</v>
      </c>
      <c r="I413" s="11">
        <v>0</v>
      </c>
      <c r="J413" s="10">
        <f t="shared" si="102"/>
        <v>0</v>
      </c>
      <c r="K413" s="11">
        <f t="shared" si="103"/>
        <v>64</v>
      </c>
      <c r="L413" s="10">
        <f t="shared" si="103"/>
        <v>64</v>
      </c>
      <c r="M413" s="5" t="s">
        <v>51</v>
      </c>
      <c r="N413" s="1" t="s">
        <v>365</v>
      </c>
      <c r="O413" s="1" t="s">
        <v>748</v>
      </c>
      <c r="P413" s="1" t="s">
        <v>60</v>
      </c>
      <c r="Q413" s="1" t="s">
        <v>60</v>
      </c>
      <c r="R413" s="1" t="s">
        <v>60</v>
      </c>
      <c r="S413">
        <v>0</v>
      </c>
      <c r="T413">
        <v>0</v>
      </c>
      <c r="U413">
        <v>0.4</v>
      </c>
      <c r="AV413" s="1" t="s">
        <v>51</v>
      </c>
      <c r="AW413" s="1" t="s">
        <v>1234</v>
      </c>
      <c r="AX413" s="1" t="s">
        <v>51</v>
      </c>
      <c r="AY413" s="1" t="s">
        <v>51</v>
      </c>
    </row>
    <row r="414" spans="1:51" ht="30" customHeight="1" x14ac:dyDescent="0.3">
      <c r="A414" s="5" t="s">
        <v>769</v>
      </c>
      <c r="B414" s="5" t="s">
        <v>751</v>
      </c>
      <c r="C414" s="5" t="s">
        <v>752</v>
      </c>
      <c r="D414" s="6">
        <f>공량산출근거서!K201</f>
        <v>0.04</v>
      </c>
      <c r="E414" s="11">
        <f>단가대비표!O169</f>
        <v>0</v>
      </c>
      <c r="F414" s="10">
        <f t="shared" si="100"/>
        <v>0</v>
      </c>
      <c r="G414" s="11">
        <f>단가대비표!P169</f>
        <v>273676</v>
      </c>
      <c r="H414" s="10">
        <f t="shared" si="101"/>
        <v>10947.04</v>
      </c>
      <c r="I414" s="11">
        <f>단가대비표!V169</f>
        <v>0</v>
      </c>
      <c r="J414" s="10">
        <f t="shared" si="102"/>
        <v>0</v>
      </c>
      <c r="K414" s="11">
        <f t="shared" si="103"/>
        <v>273676</v>
      </c>
      <c r="L414" s="10">
        <f t="shared" si="103"/>
        <v>10947.04</v>
      </c>
      <c r="M414" s="5" t="s">
        <v>1235</v>
      </c>
      <c r="N414" s="1" t="s">
        <v>365</v>
      </c>
      <c r="O414" s="1" t="s">
        <v>770</v>
      </c>
      <c r="P414" s="1" t="s">
        <v>60</v>
      </c>
      <c r="Q414" s="1" t="s">
        <v>60</v>
      </c>
      <c r="R414" s="1" t="s">
        <v>61</v>
      </c>
      <c r="X414">
        <v>3</v>
      </c>
      <c r="AV414" s="1" t="s">
        <v>51</v>
      </c>
      <c r="AW414" s="1" t="s">
        <v>1236</v>
      </c>
      <c r="AX414" s="1" t="s">
        <v>51</v>
      </c>
      <c r="AY414" s="1" t="s">
        <v>51</v>
      </c>
    </row>
    <row r="415" spans="1:51" ht="30" customHeight="1" x14ac:dyDescent="0.3">
      <c r="A415" s="5" t="s">
        <v>758</v>
      </c>
      <c r="B415" s="5" t="s">
        <v>759</v>
      </c>
      <c r="C415" s="5" t="s">
        <v>631</v>
      </c>
      <c r="D415" s="6">
        <v>1</v>
      </c>
      <c r="E415" s="11">
        <f>TRUNC(SUMIF(X410:X415, RIGHTB(O415, 1), H410:H415)*U415, 2)</f>
        <v>328.41</v>
      </c>
      <c r="F415" s="10">
        <f t="shared" si="100"/>
        <v>328.41</v>
      </c>
      <c r="G415" s="11">
        <v>0</v>
      </c>
      <c r="H415" s="10">
        <f t="shared" si="101"/>
        <v>0</v>
      </c>
      <c r="I415" s="11">
        <v>0</v>
      </c>
      <c r="J415" s="10">
        <f t="shared" si="102"/>
        <v>0</v>
      </c>
      <c r="K415" s="11">
        <f t="shared" si="103"/>
        <v>328.41</v>
      </c>
      <c r="L415" s="10">
        <f t="shared" si="103"/>
        <v>328.41</v>
      </c>
      <c r="M415" s="5" t="s">
        <v>51</v>
      </c>
      <c r="N415" s="1" t="s">
        <v>365</v>
      </c>
      <c r="O415" s="1" t="s">
        <v>760</v>
      </c>
      <c r="P415" s="1" t="s">
        <v>60</v>
      </c>
      <c r="Q415" s="1" t="s">
        <v>60</v>
      </c>
      <c r="R415" s="1" t="s">
        <v>60</v>
      </c>
      <c r="S415">
        <v>1</v>
      </c>
      <c r="T415">
        <v>0</v>
      </c>
      <c r="U415">
        <v>0.03</v>
      </c>
      <c r="AV415" s="1" t="s">
        <v>51</v>
      </c>
      <c r="AW415" s="1" t="s">
        <v>1237</v>
      </c>
      <c r="AX415" s="1" t="s">
        <v>51</v>
      </c>
      <c r="AY415" s="1" t="s">
        <v>51</v>
      </c>
    </row>
    <row r="416" spans="1:51" ht="30" customHeight="1" x14ac:dyDescent="0.3">
      <c r="A416" s="5" t="s">
        <v>762</v>
      </c>
      <c r="B416" s="5" t="s">
        <v>51</v>
      </c>
      <c r="C416" s="5" t="s">
        <v>51</v>
      </c>
      <c r="D416" s="6"/>
      <c r="E416" s="11"/>
      <c r="F416" s="10">
        <f>TRUNC(SUMIF(N410:N415, N409, F410:F415),0)</f>
        <v>571</v>
      </c>
      <c r="G416" s="11"/>
      <c r="H416" s="10">
        <f>TRUNC(SUMIF(N410:N415, N409, H410:H415),0)</f>
        <v>10947</v>
      </c>
      <c r="I416" s="11"/>
      <c r="J416" s="10">
        <f>TRUNC(SUMIF(N410:N415, N409, J410:J415),0)</f>
        <v>0</v>
      </c>
      <c r="K416" s="11"/>
      <c r="L416" s="10">
        <f>F416+H416+J416</f>
        <v>11518</v>
      </c>
      <c r="M416" s="5" t="s">
        <v>51</v>
      </c>
      <c r="N416" s="1" t="s">
        <v>208</v>
      </c>
      <c r="O416" s="1" t="s">
        <v>208</v>
      </c>
      <c r="P416" s="1" t="s">
        <v>51</v>
      </c>
      <c r="Q416" s="1" t="s">
        <v>51</v>
      </c>
      <c r="R416" s="1" t="s">
        <v>51</v>
      </c>
      <c r="AV416" s="1" t="s">
        <v>51</v>
      </c>
      <c r="AW416" s="1" t="s">
        <v>51</v>
      </c>
      <c r="AX416" s="1" t="s">
        <v>51</v>
      </c>
      <c r="AY416" s="1" t="s">
        <v>51</v>
      </c>
    </row>
    <row r="417" spans="1:51" ht="30" customHeight="1" x14ac:dyDescent="0.3">
      <c r="A417" s="6"/>
      <c r="B417" s="6"/>
      <c r="C417" s="6"/>
      <c r="D417" s="6"/>
      <c r="E417" s="11"/>
      <c r="F417" s="10"/>
      <c r="G417" s="11"/>
      <c r="H417" s="10"/>
      <c r="I417" s="11"/>
      <c r="J417" s="10"/>
      <c r="K417" s="11"/>
      <c r="L417" s="10"/>
      <c r="M417" s="6"/>
    </row>
    <row r="418" spans="1:51" ht="30" customHeight="1" x14ac:dyDescent="0.3">
      <c r="A418" s="37" t="s">
        <v>1238</v>
      </c>
      <c r="B418" s="37"/>
      <c r="C418" s="37"/>
      <c r="D418" s="37"/>
      <c r="E418" s="38"/>
      <c r="F418" s="39"/>
      <c r="G418" s="38"/>
      <c r="H418" s="39"/>
      <c r="I418" s="38"/>
      <c r="J418" s="39"/>
      <c r="K418" s="38"/>
      <c r="L418" s="39"/>
      <c r="M418" s="37"/>
      <c r="N418" s="1" t="s">
        <v>370</v>
      </c>
    </row>
    <row r="419" spans="1:51" ht="30" customHeight="1" x14ac:dyDescent="0.3">
      <c r="A419" s="5" t="s">
        <v>1171</v>
      </c>
      <c r="B419" s="5" t="s">
        <v>1239</v>
      </c>
      <c r="C419" s="5" t="s">
        <v>58</v>
      </c>
      <c r="D419" s="6">
        <v>1</v>
      </c>
      <c r="E419" s="11">
        <f>단가대비표!O78</f>
        <v>626</v>
      </c>
      <c r="F419" s="10">
        <f>TRUNC(E419*D419,2)</f>
        <v>626</v>
      </c>
      <c r="G419" s="11">
        <f>단가대비표!P78</f>
        <v>0</v>
      </c>
      <c r="H419" s="10">
        <f>TRUNC(G419*D419,2)</f>
        <v>0</v>
      </c>
      <c r="I419" s="11">
        <f>단가대비표!V78</f>
        <v>0</v>
      </c>
      <c r="J419" s="10">
        <f>TRUNC(I419*D419,2)</f>
        <v>0</v>
      </c>
      <c r="K419" s="11">
        <f t="shared" ref="K419:L421" si="104">TRUNC(E419+G419+I419,2)</f>
        <v>626</v>
      </c>
      <c r="L419" s="10">
        <f t="shared" si="104"/>
        <v>626</v>
      </c>
      <c r="M419" s="5" t="s">
        <v>51</v>
      </c>
      <c r="N419" s="1" t="s">
        <v>370</v>
      </c>
      <c r="O419" s="1" t="s">
        <v>1240</v>
      </c>
      <c r="P419" s="1" t="s">
        <v>60</v>
      </c>
      <c r="Q419" s="1" t="s">
        <v>60</v>
      </c>
      <c r="R419" s="1" t="s">
        <v>61</v>
      </c>
      <c r="AV419" s="1" t="s">
        <v>51</v>
      </c>
      <c r="AW419" s="1" t="s">
        <v>1241</v>
      </c>
      <c r="AX419" s="1" t="s">
        <v>51</v>
      </c>
      <c r="AY419" s="1" t="s">
        <v>51</v>
      </c>
    </row>
    <row r="420" spans="1:51" ht="30" customHeight="1" x14ac:dyDescent="0.3">
      <c r="A420" s="5" t="s">
        <v>769</v>
      </c>
      <c r="B420" s="5" t="s">
        <v>751</v>
      </c>
      <c r="C420" s="5" t="s">
        <v>752</v>
      </c>
      <c r="D420" s="6">
        <f>공량산출근거서!K204</f>
        <v>0.108</v>
      </c>
      <c r="E420" s="11">
        <f>단가대비표!O169</f>
        <v>0</v>
      </c>
      <c r="F420" s="10">
        <f>TRUNC(E420*D420,2)</f>
        <v>0</v>
      </c>
      <c r="G420" s="11">
        <f>단가대비표!P169</f>
        <v>273676</v>
      </c>
      <c r="H420" s="10">
        <f>TRUNC(G420*D420,2)</f>
        <v>29557</v>
      </c>
      <c r="I420" s="11">
        <f>단가대비표!V169</f>
        <v>0</v>
      </c>
      <c r="J420" s="10">
        <f>TRUNC(I420*D420,2)</f>
        <v>0</v>
      </c>
      <c r="K420" s="11">
        <f t="shared" si="104"/>
        <v>273676</v>
      </c>
      <c r="L420" s="10">
        <f t="shared" si="104"/>
        <v>29557</v>
      </c>
      <c r="M420" s="5" t="s">
        <v>51</v>
      </c>
      <c r="N420" s="1" t="s">
        <v>370</v>
      </c>
      <c r="O420" s="1" t="s">
        <v>770</v>
      </c>
      <c r="P420" s="1" t="s">
        <v>60</v>
      </c>
      <c r="Q420" s="1" t="s">
        <v>60</v>
      </c>
      <c r="R420" s="1" t="s">
        <v>61</v>
      </c>
      <c r="V420">
        <v>1</v>
      </c>
      <c r="AV420" s="1" t="s">
        <v>51</v>
      </c>
      <c r="AW420" s="1" t="s">
        <v>1242</v>
      </c>
      <c r="AX420" s="1" t="s">
        <v>51</v>
      </c>
      <c r="AY420" s="1" t="s">
        <v>51</v>
      </c>
    </row>
    <row r="421" spans="1:51" ht="30" customHeight="1" x14ac:dyDescent="0.3">
      <c r="A421" s="5" t="s">
        <v>758</v>
      </c>
      <c r="B421" s="5" t="s">
        <v>759</v>
      </c>
      <c r="C421" s="5" t="s">
        <v>631</v>
      </c>
      <c r="D421" s="6">
        <v>1</v>
      </c>
      <c r="E421" s="11">
        <f>TRUNC(SUMIF(V419:V421, RIGHTB(O421, 1), H419:H421)*U421, 2)</f>
        <v>886.71</v>
      </c>
      <c r="F421" s="10">
        <f>TRUNC(E421*D421,2)</f>
        <v>886.71</v>
      </c>
      <c r="G421" s="11">
        <v>0</v>
      </c>
      <c r="H421" s="10">
        <f>TRUNC(G421*D421,2)</f>
        <v>0</v>
      </c>
      <c r="I421" s="11">
        <v>0</v>
      </c>
      <c r="J421" s="10">
        <f>TRUNC(I421*D421,2)</f>
        <v>0</v>
      </c>
      <c r="K421" s="11">
        <f t="shared" si="104"/>
        <v>886.71</v>
      </c>
      <c r="L421" s="10">
        <f t="shared" si="104"/>
        <v>886.71</v>
      </c>
      <c r="M421" s="5" t="s">
        <v>51</v>
      </c>
      <c r="N421" s="1" t="s">
        <v>370</v>
      </c>
      <c r="O421" s="1" t="s">
        <v>657</v>
      </c>
      <c r="P421" s="1" t="s">
        <v>60</v>
      </c>
      <c r="Q421" s="1" t="s">
        <v>60</v>
      </c>
      <c r="R421" s="1" t="s">
        <v>60</v>
      </c>
      <c r="S421">
        <v>1</v>
      </c>
      <c r="T421">
        <v>0</v>
      </c>
      <c r="U421">
        <v>0.03</v>
      </c>
      <c r="AV421" s="1" t="s">
        <v>51</v>
      </c>
      <c r="AW421" s="1" t="s">
        <v>1243</v>
      </c>
      <c r="AX421" s="1" t="s">
        <v>51</v>
      </c>
      <c r="AY421" s="1" t="s">
        <v>51</v>
      </c>
    </row>
    <row r="422" spans="1:51" ht="30" customHeight="1" x14ac:dyDescent="0.3">
      <c r="A422" s="5" t="s">
        <v>762</v>
      </c>
      <c r="B422" s="5" t="s">
        <v>51</v>
      </c>
      <c r="C422" s="5" t="s">
        <v>51</v>
      </c>
      <c r="D422" s="6"/>
      <c r="E422" s="11"/>
      <c r="F422" s="10">
        <f>TRUNC(SUMIF(N419:N421, N418, F419:F421),0)</f>
        <v>1512</v>
      </c>
      <c r="G422" s="11"/>
      <c r="H422" s="10">
        <f>TRUNC(SUMIF(N419:N421, N418, H419:H421),0)</f>
        <v>29557</v>
      </c>
      <c r="I422" s="11"/>
      <c r="J422" s="10">
        <f>TRUNC(SUMIF(N419:N421, N418, J419:J421),0)</f>
        <v>0</v>
      </c>
      <c r="K422" s="11"/>
      <c r="L422" s="10">
        <f>F422+H422+J422</f>
        <v>31069</v>
      </c>
      <c r="M422" s="5" t="s">
        <v>51</v>
      </c>
      <c r="N422" s="1" t="s">
        <v>208</v>
      </c>
      <c r="O422" s="1" t="s">
        <v>208</v>
      </c>
      <c r="P422" s="1" t="s">
        <v>51</v>
      </c>
      <c r="Q422" s="1" t="s">
        <v>51</v>
      </c>
      <c r="R422" s="1" t="s">
        <v>51</v>
      </c>
      <c r="AV422" s="1" t="s">
        <v>51</v>
      </c>
      <c r="AW422" s="1" t="s">
        <v>51</v>
      </c>
      <c r="AX422" s="1" t="s">
        <v>51</v>
      </c>
      <c r="AY422" s="1" t="s">
        <v>51</v>
      </c>
    </row>
    <row r="423" spans="1:51" ht="30" customHeight="1" x14ac:dyDescent="0.3">
      <c r="A423" s="6"/>
      <c r="B423" s="6"/>
      <c r="C423" s="6"/>
      <c r="D423" s="6"/>
      <c r="E423" s="11"/>
      <c r="F423" s="10"/>
      <c r="G423" s="11"/>
      <c r="H423" s="10"/>
      <c r="I423" s="11"/>
      <c r="J423" s="10"/>
      <c r="K423" s="11"/>
      <c r="L423" s="10"/>
      <c r="M423" s="6"/>
    </row>
    <row r="424" spans="1:51" ht="30" customHeight="1" x14ac:dyDescent="0.3">
      <c r="A424" s="37" t="s">
        <v>1244</v>
      </c>
      <c r="B424" s="37"/>
      <c r="C424" s="37"/>
      <c r="D424" s="37"/>
      <c r="E424" s="38"/>
      <c r="F424" s="39"/>
      <c r="G424" s="38"/>
      <c r="H424" s="39"/>
      <c r="I424" s="38"/>
      <c r="J424" s="39"/>
      <c r="K424" s="38"/>
      <c r="L424" s="39"/>
      <c r="M424" s="37"/>
      <c r="N424" s="1" t="s">
        <v>374</v>
      </c>
    </row>
    <row r="425" spans="1:51" ht="30" customHeight="1" x14ac:dyDescent="0.3">
      <c r="A425" s="5" t="s">
        <v>1178</v>
      </c>
      <c r="B425" s="5" t="s">
        <v>1179</v>
      </c>
      <c r="C425" s="5" t="s">
        <v>65</v>
      </c>
      <c r="D425" s="6">
        <v>1</v>
      </c>
      <c r="E425" s="11">
        <f>단가대비표!O41</f>
        <v>551</v>
      </c>
      <c r="F425" s="10">
        <f>TRUNC(E425*D425,2)</f>
        <v>551</v>
      </c>
      <c r="G425" s="11">
        <f>단가대비표!P41</f>
        <v>0</v>
      </c>
      <c r="H425" s="10">
        <f>TRUNC(G425*D425,2)</f>
        <v>0</v>
      </c>
      <c r="I425" s="11">
        <f>단가대비표!V41</f>
        <v>0</v>
      </c>
      <c r="J425" s="10">
        <f>TRUNC(I425*D425,2)</f>
        <v>0</v>
      </c>
      <c r="K425" s="11">
        <f t="shared" ref="K425:L429" si="105">TRUNC(E425+G425+I425,2)</f>
        <v>551</v>
      </c>
      <c r="L425" s="10">
        <f t="shared" si="105"/>
        <v>551</v>
      </c>
      <c r="M425" s="5" t="s">
        <v>51</v>
      </c>
      <c r="N425" s="1" t="s">
        <v>374</v>
      </c>
      <c r="O425" s="1" t="s">
        <v>1180</v>
      </c>
      <c r="P425" s="1" t="s">
        <v>60</v>
      </c>
      <c r="Q425" s="1" t="s">
        <v>60</v>
      </c>
      <c r="R425" s="1" t="s">
        <v>61</v>
      </c>
      <c r="V425">
        <v>1</v>
      </c>
      <c r="AV425" s="1" t="s">
        <v>51</v>
      </c>
      <c r="AW425" s="1" t="s">
        <v>1245</v>
      </c>
      <c r="AX425" s="1" t="s">
        <v>51</v>
      </c>
      <c r="AY425" s="1" t="s">
        <v>51</v>
      </c>
    </row>
    <row r="426" spans="1:51" ht="30" customHeight="1" x14ac:dyDescent="0.3">
      <c r="A426" s="5" t="s">
        <v>1178</v>
      </c>
      <c r="B426" s="5" t="s">
        <v>1179</v>
      </c>
      <c r="C426" s="5" t="s">
        <v>65</v>
      </c>
      <c r="D426" s="6">
        <v>0.1</v>
      </c>
      <c r="E426" s="11">
        <f>단가대비표!O41</f>
        <v>551</v>
      </c>
      <c r="F426" s="10">
        <f>TRUNC(E426*D426,2)</f>
        <v>55.1</v>
      </c>
      <c r="G426" s="11">
        <f>단가대비표!P41</f>
        <v>0</v>
      </c>
      <c r="H426" s="10">
        <f>TRUNC(G426*D426,2)</f>
        <v>0</v>
      </c>
      <c r="I426" s="11">
        <f>단가대비표!V41</f>
        <v>0</v>
      </c>
      <c r="J426" s="10">
        <f>TRUNC(I426*D426,2)</f>
        <v>0</v>
      </c>
      <c r="K426" s="11">
        <f t="shared" si="105"/>
        <v>551</v>
      </c>
      <c r="L426" s="10">
        <f t="shared" si="105"/>
        <v>55.1</v>
      </c>
      <c r="M426" s="5" t="s">
        <v>51</v>
      </c>
      <c r="N426" s="1" t="s">
        <v>374</v>
      </c>
      <c r="O426" s="1" t="s">
        <v>1180</v>
      </c>
      <c r="P426" s="1" t="s">
        <v>60</v>
      </c>
      <c r="Q426" s="1" t="s">
        <v>60</v>
      </c>
      <c r="R426" s="1" t="s">
        <v>61</v>
      </c>
      <c r="AV426" s="1" t="s">
        <v>51</v>
      </c>
      <c r="AW426" s="1" t="s">
        <v>1245</v>
      </c>
      <c r="AX426" s="1" t="s">
        <v>51</v>
      </c>
      <c r="AY426" s="1" t="s">
        <v>51</v>
      </c>
    </row>
    <row r="427" spans="1:51" ht="30" customHeight="1" x14ac:dyDescent="0.3">
      <c r="A427" s="5" t="s">
        <v>746</v>
      </c>
      <c r="B427" s="5" t="s">
        <v>786</v>
      </c>
      <c r="C427" s="5" t="s">
        <v>631</v>
      </c>
      <c r="D427" s="6">
        <v>1</v>
      </c>
      <c r="E427" s="11">
        <f>TRUNC(SUMIF(V425:V429, RIGHTB(O427, 1), F425:F429)*U427, 2)</f>
        <v>11.02</v>
      </c>
      <c r="F427" s="10">
        <f>TRUNC(E427*D427,2)</f>
        <v>11.02</v>
      </c>
      <c r="G427" s="11">
        <v>0</v>
      </c>
      <c r="H427" s="10">
        <f>TRUNC(G427*D427,2)</f>
        <v>0</v>
      </c>
      <c r="I427" s="11">
        <v>0</v>
      </c>
      <c r="J427" s="10">
        <f>TRUNC(I427*D427,2)</f>
        <v>0</v>
      </c>
      <c r="K427" s="11">
        <f t="shared" si="105"/>
        <v>11.02</v>
      </c>
      <c r="L427" s="10">
        <f t="shared" si="105"/>
        <v>11.02</v>
      </c>
      <c r="M427" s="5" t="s">
        <v>51</v>
      </c>
      <c r="N427" s="1" t="s">
        <v>374</v>
      </c>
      <c r="O427" s="1" t="s">
        <v>657</v>
      </c>
      <c r="P427" s="1" t="s">
        <v>60</v>
      </c>
      <c r="Q427" s="1" t="s">
        <v>60</v>
      </c>
      <c r="R427" s="1" t="s">
        <v>60</v>
      </c>
      <c r="S427">
        <v>0</v>
      </c>
      <c r="T427">
        <v>0</v>
      </c>
      <c r="U427">
        <v>0.02</v>
      </c>
      <c r="AV427" s="1" t="s">
        <v>51</v>
      </c>
      <c r="AW427" s="1" t="s">
        <v>1246</v>
      </c>
      <c r="AX427" s="1" t="s">
        <v>51</v>
      </c>
      <c r="AY427" s="1" t="s">
        <v>51</v>
      </c>
    </row>
    <row r="428" spans="1:51" ht="30" customHeight="1" x14ac:dyDescent="0.3">
      <c r="A428" s="5" t="s">
        <v>769</v>
      </c>
      <c r="B428" s="5" t="s">
        <v>751</v>
      </c>
      <c r="C428" s="5" t="s">
        <v>752</v>
      </c>
      <c r="D428" s="6">
        <f>공량산출근거서!K208</f>
        <v>8.9999999999999993E-3</v>
      </c>
      <c r="E428" s="11">
        <f>단가대비표!O169</f>
        <v>0</v>
      </c>
      <c r="F428" s="10">
        <f>TRUNC(E428*D428,2)</f>
        <v>0</v>
      </c>
      <c r="G428" s="11">
        <f>단가대비표!P169</f>
        <v>273676</v>
      </c>
      <c r="H428" s="10">
        <f>TRUNC(G428*D428,2)</f>
        <v>2463.08</v>
      </c>
      <c r="I428" s="11">
        <f>단가대비표!V169</f>
        <v>0</v>
      </c>
      <c r="J428" s="10">
        <f>TRUNC(I428*D428,2)</f>
        <v>0</v>
      </c>
      <c r="K428" s="11">
        <f t="shared" si="105"/>
        <v>273676</v>
      </c>
      <c r="L428" s="10">
        <f t="shared" si="105"/>
        <v>2463.08</v>
      </c>
      <c r="M428" s="5" t="s">
        <v>51</v>
      </c>
      <c r="N428" s="1" t="s">
        <v>374</v>
      </c>
      <c r="O428" s="1" t="s">
        <v>770</v>
      </c>
      <c r="P428" s="1" t="s">
        <v>60</v>
      </c>
      <c r="Q428" s="1" t="s">
        <v>60</v>
      </c>
      <c r="R428" s="1" t="s">
        <v>61</v>
      </c>
      <c r="W428">
        <v>2</v>
      </c>
      <c r="AV428" s="1" t="s">
        <v>51</v>
      </c>
      <c r="AW428" s="1" t="s">
        <v>1247</v>
      </c>
      <c r="AX428" s="1" t="s">
        <v>51</v>
      </c>
      <c r="AY428" s="1" t="s">
        <v>51</v>
      </c>
    </row>
    <row r="429" spans="1:51" ht="30" customHeight="1" x14ac:dyDescent="0.3">
      <c r="A429" s="5" t="s">
        <v>758</v>
      </c>
      <c r="B429" s="5" t="s">
        <v>759</v>
      </c>
      <c r="C429" s="5" t="s">
        <v>631</v>
      </c>
      <c r="D429" s="6">
        <v>1</v>
      </c>
      <c r="E429" s="11">
        <f>TRUNC(SUMIF(W425:W429, RIGHTB(O429, 1), H425:H429)*U429, 2)</f>
        <v>73.89</v>
      </c>
      <c r="F429" s="10">
        <f>TRUNC(E429*D429,2)</f>
        <v>73.89</v>
      </c>
      <c r="G429" s="11">
        <v>0</v>
      </c>
      <c r="H429" s="10">
        <f>TRUNC(G429*D429,2)</f>
        <v>0</v>
      </c>
      <c r="I429" s="11">
        <v>0</v>
      </c>
      <c r="J429" s="10">
        <f>TRUNC(I429*D429,2)</f>
        <v>0</v>
      </c>
      <c r="K429" s="11">
        <f t="shared" si="105"/>
        <v>73.89</v>
      </c>
      <c r="L429" s="10">
        <f t="shared" si="105"/>
        <v>73.89</v>
      </c>
      <c r="M429" s="5" t="s">
        <v>51</v>
      </c>
      <c r="N429" s="1" t="s">
        <v>374</v>
      </c>
      <c r="O429" s="1" t="s">
        <v>748</v>
      </c>
      <c r="P429" s="1" t="s">
        <v>60</v>
      </c>
      <c r="Q429" s="1" t="s">
        <v>60</v>
      </c>
      <c r="R429" s="1" t="s">
        <v>60</v>
      </c>
      <c r="S429">
        <v>1</v>
      </c>
      <c r="T429">
        <v>0</v>
      </c>
      <c r="U429">
        <v>0.03</v>
      </c>
      <c r="AV429" s="1" t="s">
        <v>51</v>
      </c>
      <c r="AW429" s="1" t="s">
        <v>1248</v>
      </c>
      <c r="AX429" s="1" t="s">
        <v>51</v>
      </c>
      <c r="AY429" s="1" t="s">
        <v>51</v>
      </c>
    </row>
    <row r="430" spans="1:51" ht="30" customHeight="1" x14ac:dyDescent="0.3">
      <c r="A430" s="5" t="s">
        <v>762</v>
      </c>
      <c r="B430" s="5" t="s">
        <v>51</v>
      </c>
      <c r="C430" s="5" t="s">
        <v>51</v>
      </c>
      <c r="D430" s="6"/>
      <c r="E430" s="11"/>
      <c r="F430" s="10">
        <f>TRUNC(SUMIF(N425:N429, N424, F425:F429),0)</f>
        <v>691</v>
      </c>
      <c r="G430" s="11"/>
      <c r="H430" s="10">
        <f>TRUNC(SUMIF(N425:N429, N424, H425:H429),0)</f>
        <v>2463</v>
      </c>
      <c r="I430" s="11"/>
      <c r="J430" s="10">
        <f>TRUNC(SUMIF(N425:N429, N424, J425:J429),0)</f>
        <v>0</v>
      </c>
      <c r="K430" s="11"/>
      <c r="L430" s="10">
        <f>F430+H430+J430</f>
        <v>3154</v>
      </c>
      <c r="M430" s="5" t="s">
        <v>51</v>
      </c>
      <c r="N430" s="1" t="s">
        <v>208</v>
      </c>
      <c r="O430" s="1" t="s">
        <v>208</v>
      </c>
      <c r="P430" s="1" t="s">
        <v>51</v>
      </c>
      <c r="Q430" s="1" t="s">
        <v>51</v>
      </c>
      <c r="R430" s="1" t="s">
        <v>51</v>
      </c>
      <c r="AV430" s="1" t="s">
        <v>51</v>
      </c>
      <c r="AW430" s="1" t="s">
        <v>51</v>
      </c>
      <c r="AX430" s="1" t="s">
        <v>51</v>
      </c>
      <c r="AY430" s="1" t="s">
        <v>51</v>
      </c>
    </row>
    <row r="431" spans="1:51" ht="30" customHeight="1" x14ac:dyDescent="0.3">
      <c r="A431" s="6"/>
      <c r="B431" s="6"/>
      <c r="C431" s="6"/>
      <c r="D431" s="6"/>
      <c r="E431" s="11"/>
      <c r="F431" s="10"/>
      <c r="G431" s="11"/>
      <c r="H431" s="10"/>
      <c r="I431" s="11"/>
      <c r="J431" s="10"/>
      <c r="K431" s="11"/>
      <c r="L431" s="10"/>
      <c r="M431" s="6"/>
    </row>
    <row r="432" spans="1:51" ht="30" customHeight="1" x14ac:dyDescent="0.3">
      <c r="A432" s="37" t="s">
        <v>1249</v>
      </c>
      <c r="B432" s="37"/>
      <c r="C432" s="37"/>
      <c r="D432" s="37"/>
      <c r="E432" s="38"/>
      <c r="F432" s="39"/>
      <c r="G432" s="38"/>
      <c r="H432" s="39"/>
      <c r="I432" s="38"/>
      <c r="J432" s="39"/>
      <c r="K432" s="38"/>
      <c r="L432" s="39"/>
      <c r="M432" s="37"/>
      <c r="N432" s="1" t="s">
        <v>379</v>
      </c>
    </row>
    <row r="433" spans="1:51" ht="30" customHeight="1" x14ac:dyDescent="0.3">
      <c r="A433" s="5" t="s">
        <v>1178</v>
      </c>
      <c r="B433" s="5" t="s">
        <v>1179</v>
      </c>
      <c r="C433" s="5" t="s">
        <v>65</v>
      </c>
      <c r="D433" s="6">
        <v>1</v>
      </c>
      <c r="E433" s="11">
        <f>단가대비표!O41</f>
        <v>551</v>
      </c>
      <c r="F433" s="10">
        <f>TRUNC(E433*D433,2)</f>
        <v>551</v>
      </c>
      <c r="G433" s="11">
        <f>단가대비표!P41</f>
        <v>0</v>
      </c>
      <c r="H433" s="10">
        <f>TRUNC(G433*D433,2)</f>
        <v>0</v>
      </c>
      <c r="I433" s="11">
        <f>단가대비표!V41</f>
        <v>0</v>
      </c>
      <c r="J433" s="10">
        <f>TRUNC(I433*D433,2)</f>
        <v>0</v>
      </c>
      <c r="K433" s="11">
        <f t="shared" ref="K433:L437" si="106">TRUNC(E433+G433+I433,2)</f>
        <v>551</v>
      </c>
      <c r="L433" s="10">
        <f t="shared" si="106"/>
        <v>551</v>
      </c>
      <c r="M433" s="5" t="s">
        <v>51</v>
      </c>
      <c r="N433" s="1" t="s">
        <v>379</v>
      </c>
      <c r="O433" s="1" t="s">
        <v>1180</v>
      </c>
      <c r="P433" s="1" t="s">
        <v>60</v>
      </c>
      <c r="Q433" s="1" t="s">
        <v>60</v>
      </c>
      <c r="R433" s="1" t="s">
        <v>61</v>
      </c>
      <c r="V433">
        <v>1</v>
      </c>
      <c r="AV433" s="1" t="s">
        <v>51</v>
      </c>
      <c r="AW433" s="1" t="s">
        <v>1250</v>
      </c>
      <c r="AX433" s="1" t="s">
        <v>51</v>
      </c>
      <c r="AY433" s="1" t="s">
        <v>51</v>
      </c>
    </row>
    <row r="434" spans="1:51" ht="30" customHeight="1" x14ac:dyDescent="0.3">
      <c r="A434" s="5" t="s">
        <v>1178</v>
      </c>
      <c r="B434" s="5" t="s">
        <v>1179</v>
      </c>
      <c r="C434" s="5" t="s">
        <v>65</v>
      </c>
      <c r="D434" s="6">
        <v>0.1</v>
      </c>
      <c r="E434" s="11">
        <f>단가대비표!O41</f>
        <v>551</v>
      </c>
      <c r="F434" s="10">
        <f>TRUNC(E434*D434,2)</f>
        <v>55.1</v>
      </c>
      <c r="G434" s="11">
        <f>단가대비표!P41</f>
        <v>0</v>
      </c>
      <c r="H434" s="10">
        <f>TRUNC(G434*D434,2)</f>
        <v>0</v>
      </c>
      <c r="I434" s="11">
        <f>단가대비표!V41</f>
        <v>0</v>
      </c>
      <c r="J434" s="10">
        <f>TRUNC(I434*D434,2)</f>
        <v>0</v>
      </c>
      <c r="K434" s="11">
        <f t="shared" si="106"/>
        <v>551</v>
      </c>
      <c r="L434" s="10">
        <f t="shared" si="106"/>
        <v>55.1</v>
      </c>
      <c r="M434" s="5" t="s">
        <v>51</v>
      </c>
      <c r="N434" s="1" t="s">
        <v>379</v>
      </c>
      <c r="O434" s="1" t="s">
        <v>1180</v>
      </c>
      <c r="P434" s="1" t="s">
        <v>60</v>
      </c>
      <c r="Q434" s="1" t="s">
        <v>60</v>
      </c>
      <c r="R434" s="1" t="s">
        <v>61</v>
      </c>
      <c r="AV434" s="1" t="s">
        <v>51</v>
      </c>
      <c r="AW434" s="1" t="s">
        <v>1250</v>
      </c>
      <c r="AX434" s="1" t="s">
        <v>51</v>
      </c>
      <c r="AY434" s="1" t="s">
        <v>51</v>
      </c>
    </row>
    <row r="435" spans="1:51" ht="30" customHeight="1" x14ac:dyDescent="0.3">
      <c r="A435" s="5" t="s">
        <v>746</v>
      </c>
      <c r="B435" s="5" t="s">
        <v>786</v>
      </c>
      <c r="C435" s="5" t="s">
        <v>631</v>
      </c>
      <c r="D435" s="6">
        <v>1</v>
      </c>
      <c r="E435" s="11">
        <f>TRUNC(SUMIF(V433:V437, RIGHTB(O435, 1), F433:F437)*U435, 2)</f>
        <v>11.02</v>
      </c>
      <c r="F435" s="10">
        <f>TRUNC(E435*D435,2)</f>
        <v>11.02</v>
      </c>
      <c r="G435" s="11">
        <v>0</v>
      </c>
      <c r="H435" s="10">
        <f>TRUNC(G435*D435,2)</f>
        <v>0</v>
      </c>
      <c r="I435" s="11">
        <v>0</v>
      </c>
      <c r="J435" s="10">
        <f>TRUNC(I435*D435,2)</f>
        <v>0</v>
      </c>
      <c r="K435" s="11">
        <f t="shared" si="106"/>
        <v>11.02</v>
      </c>
      <c r="L435" s="10">
        <f t="shared" si="106"/>
        <v>11.02</v>
      </c>
      <c r="M435" s="5" t="s">
        <v>51</v>
      </c>
      <c r="N435" s="1" t="s">
        <v>379</v>
      </c>
      <c r="O435" s="1" t="s">
        <v>657</v>
      </c>
      <c r="P435" s="1" t="s">
        <v>60</v>
      </c>
      <c r="Q435" s="1" t="s">
        <v>60</v>
      </c>
      <c r="R435" s="1" t="s">
        <v>60</v>
      </c>
      <c r="S435">
        <v>0</v>
      </c>
      <c r="T435">
        <v>0</v>
      </c>
      <c r="U435">
        <v>0.02</v>
      </c>
      <c r="AV435" s="1" t="s">
        <v>51</v>
      </c>
      <c r="AW435" s="1" t="s">
        <v>1251</v>
      </c>
      <c r="AX435" s="1" t="s">
        <v>51</v>
      </c>
      <c r="AY435" s="1" t="s">
        <v>51</v>
      </c>
    </row>
    <row r="436" spans="1:51" ht="30" customHeight="1" x14ac:dyDescent="0.3">
      <c r="A436" s="5" t="s">
        <v>769</v>
      </c>
      <c r="B436" s="5" t="s">
        <v>751</v>
      </c>
      <c r="C436" s="5" t="s">
        <v>752</v>
      </c>
      <c r="D436" s="6">
        <f>공량산출근거서!K212</f>
        <v>8.5000000000000006E-3</v>
      </c>
      <c r="E436" s="11">
        <f>단가대비표!O169</f>
        <v>0</v>
      </c>
      <c r="F436" s="10">
        <f>TRUNC(E436*D436,2)</f>
        <v>0</v>
      </c>
      <c r="G436" s="11">
        <f>단가대비표!P169</f>
        <v>273676</v>
      </c>
      <c r="H436" s="10">
        <f>TRUNC(G436*D436,2)</f>
        <v>2326.2399999999998</v>
      </c>
      <c r="I436" s="11">
        <f>단가대비표!V169</f>
        <v>0</v>
      </c>
      <c r="J436" s="10">
        <f>TRUNC(I436*D436,2)</f>
        <v>0</v>
      </c>
      <c r="K436" s="11">
        <f t="shared" si="106"/>
        <v>273676</v>
      </c>
      <c r="L436" s="10">
        <f t="shared" si="106"/>
        <v>2326.2399999999998</v>
      </c>
      <c r="M436" s="5" t="s">
        <v>51</v>
      </c>
      <c r="N436" s="1" t="s">
        <v>379</v>
      </c>
      <c r="O436" s="1" t="s">
        <v>770</v>
      </c>
      <c r="P436" s="1" t="s">
        <v>60</v>
      </c>
      <c r="Q436" s="1" t="s">
        <v>60</v>
      </c>
      <c r="R436" s="1" t="s">
        <v>61</v>
      </c>
      <c r="W436">
        <v>2</v>
      </c>
      <c r="AV436" s="1" t="s">
        <v>51</v>
      </c>
      <c r="AW436" s="1" t="s">
        <v>1252</v>
      </c>
      <c r="AX436" s="1" t="s">
        <v>51</v>
      </c>
      <c r="AY436" s="1" t="s">
        <v>51</v>
      </c>
    </row>
    <row r="437" spans="1:51" ht="30" customHeight="1" x14ac:dyDescent="0.3">
      <c r="A437" s="5" t="s">
        <v>758</v>
      </c>
      <c r="B437" s="5" t="s">
        <v>759</v>
      </c>
      <c r="C437" s="5" t="s">
        <v>631</v>
      </c>
      <c r="D437" s="6">
        <v>1</v>
      </c>
      <c r="E437" s="11">
        <f>TRUNC(SUMIF(W433:W437, RIGHTB(O437, 1), H433:H437)*U437, 2)</f>
        <v>69.78</v>
      </c>
      <c r="F437" s="10">
        <f>TRUNC(E437*D437,2)</f>
        <v>69.78</v>
      </c>
      <c r="G437" s="11">
        <v>0</v>
      </c>
      <c r="H437" s="10">
        <f>TRUNC(G437*D437,2)</f>
        <v>0</v>
      </c>
      <c r="I437" s="11">
        <v>0</v>
      </c>
      <c r="J437" s="10">
        <f>TRUNC(I437*D437,2)</f>
        <v>0</v>
      </c>
      <c r="K437" s="11">
        <f t="shared" si="106"/>
        <v>69.78</v>
      </c>
      <c r="L437" s="10">
        <f t="shared" si="106"/>
        <v>69.78</v>
      </c>
      <c r="M437" s="5" t="s">
        <v>51</v>
      </c>
      <c r="N437" s="1" t="s">
        <v>379</v>
      </c>
      <c r="O437" s="1" t="s">
        <v>748</v>
      </c>
      <c r="P437" s="1" t="s">
        <v>60</v>
      </c>
      <c r="Q437" s="1" t="s">
        <v>60</v>
      </c>
      <c r="R437" s="1" t="s">
        <v>60</v>
      </c>
      <c r="S437">
        <v>1</v>
      </c>
      <c r="T437">
        <v>0</v>
      </c>
      <c r="U437">
        <v>0.03</v>
      </c>
      <c r="AV437" s="1" t="s">
        <v>51</v>
      </c>
      <c r="AW437" s="1" t="s">
        <v>1253</v>
      </c>
      <c r="AX437" s="1" t="s">
        <v>51</v>
      </c>
      <c r="AY437" s="1" t="s">
        <v>51</v>
      </c>
    </row>
    <row r="438" spans="1:51" ht="30" customHeight="1" x14ac:dyDescent="0.3">
      <c r="A438" s="5" t="s">
        <v>762</v>
      </c>
      <c r="B438" s="5" t="s">
        <v>51</v>
      </c>
      <c r="C438" s="5" t="s">
        <v>51</v>
      </c>
      <c r="D438" s="6"/>
      <c r="E438" s="11"/>
      <c r="F438" s="10">
        <f>TRUNC(SUMIF(N433:N437, N432, F433:F437),0)</f>
        <v>686</v>
      </c>
      <c r="G438" s="11"/>
      <c r="H438" s="10">
        <f>TRUNC(SUMIF(N433:N437, N432, H433:H437),0)</f>
        <v>2326</v>
      </c>
      <c r="I438" s="11"/>
      <c r="J438" s="10">
        <f>TRUNC(SUMIF(N433:N437, N432, J433:J437),0)</f>
        <v>0</v>
      </c>
      <c r="K438" s="11"/>
      <c r="L438" s="10">
        <f>F438+H438+J438</f>
        <v>3012</v>
      </c>
      <c r="M438" s="5" t="s">
        <v>51</v>
      </c>
      <c r="N438" s="1" t="s">
        <v>208</v>
      </c>
      <c r="O438" s="1" t="s">
        <v>208</v>
      </c>
      <c r="P438" s="1" t="s">
        <v>51</v>
      </c>
      <c r="Q438" s="1" t="s">
        <v>51</v>
      </c>
      <c r="R438" s="1" t="s">
        <v>51</v>
      </c>
      <c r="AV438" s="1" t="s">
        <v>51</v>
      </c>
      <c r="AW438" s="1" t="s">
        <v>51</v>
      </c>
      <c r="AX438" s="1" t="s">
        <v>51</v>
      </c>
      <c r="AY438" s="1" t="s">
        <v>51</v>
      </c>
    </row>
    <row r="439" spans="1:51" ht="30" customHeight="1" x14ac:dyDescent="0.3">
      <c r="A439" s="6"/>
      <c r="B439" s="6"/>
      <c r="C439" s="6"/>
      <c r="D439" s="6"/>
      <c r="E439" s="11"/>
      <c r="F439" s="10"/>
      <c r="G439" s="11"/>
      <c r="H439" s="10"/>
      <c r="I439" s="11"/>
      <c r="J439" s="10"/>
      <c r="K439" s="11"/>
      <c r="L439" s="10"/>
      <c r="M439" s="6"/>
    </row>
    <row r="440" spans="1:51" ht="30" customHeight="1" x14ac:dyDescent="0.3">
      <c r="A440" s="37" t="s">
        <v>1254</v>
      </c>
      <c r="B440" s="37"/>
      <c r="C440" s="37"/>
      <c r="D440" s="37"/>
      <c r="E440" s="38"/>
      <c r="F440" s="39"/>
      <c r="G440" s="38"/>
      <c r="H440" s="39"/>
      <c r="I440" s="38"/>
      <c r="J440" s="39"/>
      <c r="K440" s="38"/>
      <c r="L440" s="39"/>
      <c r="M440" s="37"/>
      <c r="N440" s="1" t="s">
        <v>383</v>
      </c>
    </row>
    <row r="441" spans="1:51" ht="30" customHeight="1" x14ac:dyDescent="0.3">
      <c r="A441" s="5" t="s">
        <v>1178</v>
      </c>
      <c r="B441" s="5" t="s">
        <v>1179</v>
      </c>
      <c r="C441" s="5" t="s">
        <v>65</v>
      </c>
      <c r="D441" s="6">
        <v>1</v>
      </c>
      <c r="E441" s="11">
        <f>단가대비표!O41</f>
        <v>551</v>
      </c>
      <c r="F441" s="10">
        <f>TRUNC(E441*D441,2)</f>
        <v>551</v>
      </c>
      <c r="G441" s="11">
        <f>단가대비표!P41</f>
        <v>0</v>
      </c>
      <c r="H441" s="10">
        <f>TRUNC(G441*D441,2)</f>
        <v>0</v>
      </c>
      <c r="I441" s="11">
        <f>단가대비표!V41</f>
        <v>0</v>
      </c>
      <c r="J441" s="10">
        <f>TRUNC(I441*D441,2)</f>
        <v>0</v>
      </c>
      <c r="K441" s="11">
        <f t="shared" ref="K441:L445" si="107">TRUNC(E441+G441+I441,2)</f>
        <v>551</v>
      </c>
      <c r="L441" s="10">
        <f t="shared" si="107"/>
        <v>551</v>
      </c>
      <c r="M441" s="5" t="s">
        <v>51</v>
      </c>
      <c r="N441" s="1" t="s">
        <v>383</v>
      </c>
      <c r="O441" s="1" t="s">
        <v>1180</v>
      </c>
      <c r="P441" s="1" t="s">
        <v>60</v>
      </c>
      <c r="Q441" s="1" t="s">
        <v>60</v>
      </c>
      <c r="R441" s="1" t="s">
        <v>61</v>
      </c>
      <c r="V441">
        <v>1</v>
      </c>
      <c r="AV441" s="1" t="s">
        <v>51</v>
      </c>
      <c r="AW441" s="1" t="s">
        <v>1255</v>
      </c>
      <c r="AX441" s="1" t="s">
        <v>51</v>
      </c>
      <c r="AY441" s="1" t="s">
        <v>51</v>
      </c>
    </row>
    <row r="442" spans="1:51" ht="30" customHeight="1" x14ac:dyDescent="0.3">
      <c r="A442" s="5" t="s">
        <v>1178</v>
      </c>
      <c r="B442" s="5" t="s">
        <v>1179</v>
      </c>
      <c r="C442" s="5" t="s">
        <v>65</v>
      </c>
      <c r="D442" s="6">
        <v>0.1</v>
      </c>
      <c r="E442" s="11">
        <f>단가대비표!O41</f>
        <v>551</v>
      </c>
      <c r="F442" s="10">
        <f>TRUNC(E442*D442,2)</f>
        <v>55.1</v>
      </c>
      <c r="G442" s="11">
        <f>단가대비표!P41</f>
        <v>0</v>
      </c>
      <c r="H442" s="10">
        <f>TRUNC(G442*D442,2)</f>
        <v>0</v>
      </c>
      <c r="I442" s="11">
        <f>단가대비표!V41</f>
        <v>0</v>
      </c>
      <c r="J442" s="10">
        <f>TRUNC(I442*D442,2)</f>
        <v>0</v>
      </c>
      <c r="K442" s="11">
        <f t="shared" si="107"/>
        <v>551</v>
      </c>
      <c r="L442" s="10">
        <f t="shared" si="107"/>
        <v>55.1</v>
      </c>
      <c r="M442" s="5" t="s">
        <v>51</v>
      </c>
      <c r="N442" s="1" t="s">
        <v>383</v>
      </c>
      <c r="O442" s="1" t="s">
        <v>1180</v>
      </c>
      <c r="P442" s="1" t="s">
        <v>60</v>
      </c>
      <c r="Q442" s="1" t="s">
        <v>60</v>
      </c>
      <c r="R442" s="1" t="s">
        <v>61</v>
      </c>
      <c r="AV442" s="1" t="s">
        <v>51</v>
      </c>
      <c r="AW442" s="1" t="s">
        <v>1255</v>
      </c>
      <c r="AX442" s="1" t="s">
        <v>51</v>
      </c>
      <c r="AY442" s="1" t="s">
        <v>51</v>
      </c>
    </row>
    <row r="443" spans="1:51" ht="30" customHeight="1" x14ac:dyDescent="0.3">
      <c r="A443" s="5" t="s">
        <v>746</v>
      </c>
      <c r="B443" s="5" t="s">
        <v>786</v>
      </c>
      <c r="C443" s="5" t="s">
        <v>631</v>
      </c>
      <c r="D443" s="6">
        <v>1</v>
      </c>
      <c r="E443" s="11">
        <f>TRUNC(SUMIF(V441:V445, RIGHTB(O443, 1), F441:F445)*U443, 2)</f>
        <v>11.02</v>
      </c>
      <c r="F443" s="10">
        <f>TRUNC(E443*D443,2)</f>
        <v>11.02</v>
      </c>
      <c r="G443" s="11">
        <v>0</v>
      </c>
      <c r="H443" s="10">
        <f>TRUNC(G443*D443,2)</f>
        <v>0</v>
      </c>
      <c r="I443" s="11">
        <v>0</v>
      </c>
      <c r="J443" s="10">
        <f>TRUNC(I443*D443,2)</f>
        <v>0</v>
      </c>
      <c r="K443" s="11">
        <f t="shared" si="107"/>
        <v>11.02</v>
      </c>
      <c r="L443" s="10">
        <f t="shared" si="107"/>
        <v>11.02</v>
      </c>
      <c r="M443" s="5" t="s">
        <v>51</v>
      </c>
      <c r="N443" s="1" t="s">
        <v>383</v>
      </c>
      <c r="O443" s="1" t="s">
        <v>657</v>
      </c>
      <c r="P443" s="1" t="s">
        <v>60</v>
      </c>
      <c r="Q443" s="1" t="s">
        <v>60</v>
      </c>
      <c r="R443" s="1" t="s">
        <v>60</v>
      </c>
      <c r="S443">
        <v>0</v>
      </c>
      <c r="T443">
        <v>0</v>
      </c>
      <c r="U443">
        <v>0.02</v>
      </c>
      <c r="AV443" s="1" t="s">
        <v>51</v>
      </c>
      <c r="AW443" s="1" t="s">
        <v>1256</v>
      </c>
      <c r="AX443" s="1" t="s">
        <v>51</v>
      </c>
      <c r="AY443" s="1" t="s">
        <v>51</v>
      </c>
    </row>
    <row r="444" spans="1:51" ht="30" customHeight="1" x14ac:dyDescent="0.3">
      <c r="A444" s="5" t="s">
        <v>769</v>
      </c>
      <c r="B444" s="5" t="s">
        <v>751</v>
      </c>
      <c r="C444" s="5" t="s">
        <v>752</v>
      </c>
      <c r="D444" s="6">
        <f>공량산출근거서!K216</f>
        <v>8.3999999999999995E-3</v>
      </c>
      <c r="E444" s="11">
        <f>단가대비표!O169</f>
        <v>0</v>
      </c>
      <c r="F444" s="10">
        <f>TRUNC(E444*D444,2)</f>
        <v>0</v>
      </c>
      <c r="G444" s="11">
        <f>단가대비표!P169</f>
        <v>273676</v>
      </c>
      <c r="H444" s="10">
        <f>TRUNC(G444*D444,2)</f>
        <v>2298.87</v>
      </c>
      <c r="I444" s="11">
        <f>단가대비표!V169</f>
        <v>0</v>
      </c>
      <c r="J444" s="10">
        <f>TRUNC(I444*D444,2)</f>
        <v>0</v>
      </c>
      <c r="K444" s="11">
        <f t="shared" si="107"/>
        <v>273676</v>
      </c>
      <c r="L444" s="10">
        <f t="shared" si="107"/>
        <v>2298.87</v>
      </c>
      <c r="M444" s="5" t="s">
        <v>51</v>
      </c>
      <c r="N444" s="1" t="s">
        <v>383</v>
      </c>
      <c r="O444" s="1" t="s">
        <v>770</v>
      </c>
      <c r="P444" s="1" t="s">
        <v>60</v>
      </c>
      <c r="Q444" s="1" t="s">
        <v>60</v>
      </c>
      <c r="R444" s="1" t="s">
        <v>61</v>
      </c>
      <c r="W444">
        <v>2</v>
      </c>
      <c r="AV444" s="1" t="s">
        <v>51</v>
      </c>
      <c r="AW444" s="1" t="s">
        <v>1257</v>
      </c>
      <c r="AX444" s="1" t="s">
        <v>51</v>
      </c>
      <c r="AY444" s="1" t="s">
        <v>51</v>
      </c>
    </row>
    <row r="445" spans="1:51" ht="30" customHeight="1" x14ac:dyDescent="0.3">
      <c r="A445" s="5" t="s">
        <v>758</v>
      </c>
      <c r="B445" s="5" t="s">
        <v>759</v>
      </c>
      <c r="C445" s="5" t="s">
        <v>631</v>
      </c>
      <c r="D445" s="6">
        <v>1</v>
      </c>
      <c r="E445" s="11">
        <f>TRUNC(SUMIF(W441:W445, RIGHTB(O445, 1), H441:H445)*U445, 2)</f>
        <v>68.959999999999994</v>
      </c>
      <c r="F445" s="10">
        <f>TRUNC(E445*D445,2)</f>
        <v>68.959999999999994</v>
      </c>
      <c r="G445" s="11">
        <v>0</v>
      </c>
      <c r="H445" s="10">
        <f>TRUNC(G445*D445,2)</f>
        <v>0</v>
      </c>
      <c r="I445" s="11">
        <v>0</v>
      </c>
      <c r="J445" s="10">
        <f>TRUNC(I445*D445,2)</f>
        <v>0</v>
      </c>
      <c r="K445" s="11">
        <f t="shared" si="107"/>
        <v>68.959999999999994</v>
      </c>
      <c r="L445" s="10">
        <f t="shared" si="107"/>
        <v>68.959999999999994</v>
      </c>
      <c r="M445" s="5" t="s">
        <v>51</v>
      </c>
      <c r="N445" s="1" t="s">
        <v>383</v>
      </c>
      <c r="O445" s="1" t="s">
        <v>748</v>
      </c>
      <c r="P445" s="1" t="s">
        <v>60</v>
      </c>
      <c r="Q445" s="1" t="s">
        <v>60</v>
      </c>
      <c r="R445" s="1" t="s">
        <v>60</v>
      </c>
      <c r="S445">
        <v>1</v>
      </c>
      <c r="T445">
        <v>0</v>
      </c>
      <c r="U445">
        <v>0.03</v>
      </c>
      <c r="AV445" s="1" t="s">
        <v>51</v>
      </c>
      <c r="AW445" s="1" t="s">
        <v>1258</v>
      </c>
      <c r="AX445" s="1" t="s">
        <v>51</v>
      </c>
      <c r="AY445" s="1" t="s">
        <v>51</v>
      </c>
    </row>
    <row r="446" spans="1:51" ht="30" customHeight="1" x14ac:dyDescent="0.3">
      <c r="A446" s="5" t="s">
        <v>762</v>
      </c>
      <c r="B446" s="5" t="s">
        <v>51</v>
      </c>
      <c r="C446" s="5" t="s">
        <v>51</v>
      </c>
      <c r="D446" s="6"/>
      <c r="E446" s="11"/>
      <c r="F446" s="10">
        <f>TRUNC(SUMIF(N441:N445, N440, F441:F445),0)</f>
        <v>686</v>
      </c>
      <c r="G446" s="11"/>
      <c r="H446" s="10">
        <f>TRUNC(SUMIF(N441:N445, N440, H441:H445),0)</f>
        <v>2298</v>
      </c>
      <c r="I446" s="11"/>
      <c r="J446" s="10">
        <f>TRUNC(SUMIF(N441:N445, N440, J441:J445),0)</f>
        <v>0</v>
      </c>
      <c r="K446" s="11"/>
      <c r="L446" s="10">
        <f>F446+H446+J446</f>
        <v>2984</v>
      </c>
      <c r="M446" s="5" t="s">
        <v>51</v>
      </c>
      <c r="N446" s="1" t="s">
        <v>208</v>
      </c>
      <c r="O446" s="1" t="s">
        <v>208</v>
      </c>
      <c r="P446" s="1" t="s">
        <v>51</v>
      </c>
      <c r="Q446" s="1" t="s">
        <v>51</v>
      </c>
      <c r="R446" s="1" t="s">
        <v>51</v>
      </c>
      <c r="AV446" s="1" t="s">
        <v>51</v>
      </c>
      <c r="AW446" s="1" t="s">
        <v>51</v>
      </c>
      <c r="AX446" s="1" t="s">
        <v>51</v>
      </c>
      <c r="AY446" s="1" t="s">
        <v>51</v>
      </c>
    </row>
    <row r="447" spans="1:51" ht="30" customHeight="1" x14ac:dyDescent="0.3">
      <c r="A447" s="6"/>
      <c r="B447" s="6"/>
      <c r="C447" s="6"/>
      <c r="D447" s="6"/>
      <c r="E447" s="11"/>
      <c r="F447" s="10"/>
      <c r="G447" s="11"/>
      <c r="H447" s="10"/>
      <c r="I447" s="11"/>
      <c r="J447" s="10"/>
      <c r="K447" s="11"/>
      <c r="L447" s="10"/>
      <c r="M447" s="6"/>
    </row>
    <row r="448" spans="1:51" ht="30" customHeight="1" x14ac:dyDescent="0.3">
      <c r="A448" s="37" t="s">
        <v>1259</v>
      </c>
      <c r="B448" s="37"/>
      <c r="C448" s="37"/>
      <c r="D448" s="37"/>
      <c r="E448" s="38"/>
      <c r="F448" s="39"/>
      <c r="G448" s="38"/>
      <c r="H448" s="39"/>
      <c r="I448" s="38"/>
      <c r="J448" s="39"/>
      <c r="K448" s="38"/>
      <c r="L448" s="39"/>
      <c r="M448" s="37"/>
      <c r="N448" s="1" t="s">
        <v>388</v>
      </c>
    </row>
    <row r="449" spans="1:51" ht="30" customHeight="1" x14ac:dyDescent="0.3">
      <c r="A449" s="5" t="s">
        <v>385</v>
      </c>
      <c r="B449" s="5" t="s">
        <v>51</v>
      </c>
      <c r="C449" s="5" t="s">
        <v>1260</v>
      </c>
      <c r="D449" s="6">
        <v>1</v>
      </c>
      <c r="E449" s="11">
        <f>단가대비표!O27</f>
        <v>0</v>
      </c>
      <c r="F449" s="10">
        <f>TRUNC(E449*D449,2)</f>
        <v>0</v>
      </c>
      <c r="G449" s="11">
        <f>단가대비표!P27</f>
        <v>0</v>
      </c>
      <c r="H449" s="10">
        <f>TRUNC(G449*D449,2)</f>
        <v>0</v>
      </c>
      <c r="I449" s="11">
        <f>단가대비표!V27</f>
        <v>0</v>
      </c>
      <c r="J449" s="10">
        <f>TRUNC(I449*D449,2)</f>
        <v>0</v>
      </c>
      <c r="K449" s="11">
        <f t="shared" ref="K449:L451" si="108">TRUNC(E449+G449+I449,2)</f>
        <v>0</v>
      </c>
      <c r="L449" s="10">
        <f t="shared" si="108"/>
        <v>0</v>
      </c>
      <c r="M449" s="5" t="s">
        <v>51</v>
      </c>
      <c r="N449" s="1" t="s">
        <v>388</v>
      </c>
      <c r="O449" s="1" t="s">
        <v>1261</v>
      </c>
      <c r="P449" s="1" t="s">
        <v>60</v>
      </c>
      <c r="Q449" s="1" t="s">
        <v>60</v>
      </c>
      <c r="R449" s="1" t="s">
        <v>61</v>
      </c>
      <c r="AV449" s="1" t="s">
        <v>51</v>
      </c>
      <c r="AW449" s="1" t="s">
        <v>1262</v>
      </c>
      <c r="AX449" s="1" t="s">
        <v>51</v>
      </c>
      <c r="AY449" s="1" t="s">
        <v>51</v>
      </c>
    </row>
    <row r="450" spans="1:51" ht="30" customHeight="1" x14ac:dyDescent="0.3">
      <c r="A450" s="5" t="s">
        <v>769</v>
      </c>
      <c r="B450" s="5" t="s">
        <v>751</v>
      </c>
      <c r="C450" s="5" t="s">
        <v>752</v>
      </c>
      <c r="D450" s="6">
        <f>공량산출근거서!K219</f>
        <v>0.26300000000000001</v>
      </c>
      <c r="E450" s="11">
        <f>단가대비표!O169</f>
        <v>0</v>
      </c>
      <c r="F450" s="10">
        <f>TRUNC(E450*D450,2)</f>
        <v>0</v>
      </c>
      <c r="G450" s="11">
        <f>단가대비표!P169</f>
        <v>273676</v>
      </c>
      <c r="H450" s="10">
        <f>TRUNC(G450*D450,2)</f>
        <v>71976.78</v>
      </c>
      <c r="I450" s="11">
        <f>단가대비표!V169</f>
        <v>0</v>
      </c>
      <c r="J450" s="10">
        <f>TRUNC(I450*D450,2)</f>
        <v>0</v>
      </c>
      <c r="K450" s="11">
        <f t="shared" si="108"/>
        <v>273676</v>
      </c>
      <c r="L450" s="10">
        <f t="shared" si="108"/>
        <v>71976.78</v>
      </c>
      <c r="M450" s="5" t="s">
        <v>51</v>
      </c>
      <c r="N450" s="1" t="s">
        <v>388</v>
      </c>
      <c r="O450" s="1" t="s">
        <v>770</v>
      </c>
      <c r="P450" s="1" t="s">
        <v>60</v>
      </c>
      <c r="Q450" s="1" t="s">
        <v>60</v>
      </c>
      <c r="R450" s="1" t="s">
        <v>61</v>
      </c>
      <c r="V450">
        <v>1</v>
      </c>
      <c r="AV450" s="1" t="s">
        <v>51</v>
      </c>
      <c r="AW450" s="1" t="s">
        <v>1263</v>
      </c>
      <c r="AX450" s="1" t="s">
        <v>51</v>
      </c>
      <c r="AY450" s="1" t="s">
        <v>51</v>
      </c>
    </row>
    <row r="451" spans="1:51" ht="30" customHeight="1" x14ac:dyDescent="0.3">
      <c r="A451" s="5" t="s">
        <v>758</v>
      </c>
      <c r="B451" s="5" t="s">
        <v>759</v>
      </c>
      <c r="C451" s="5" t="s">
        <v>631</v>
      </c>
      <c r="D451" s="6">
        <v>1</v>
      </c>
      <c r="E451" s="11">
        <f>TRUNC(SUMIF(V449:V451, RIGHTB(O451, 1), H449:H451)*U451, 2)</f>
        <v>2159.3000000000002</v>
      </c>
      <c r="F451" s="10">
        <f>TRUNC(E451*D451,2)</f>
        <v>2159.3000000000002</v>
      </c>
      <c r="G451" s="11">
        <v>0</v>
      </c>
      <c r="H451" s="10">
        <f>TRUNC(G451*D451,2)</f>
        <v>0</v>
      </c>
      <c r="I451" s="11">
        <v>0</v>
      </c>
      <c r="J451" s="10">
        <f>TRUNC(I451*D451,2)</f>
        <v>0</v>
      </c>
      <c r="K451" s="11">
        <f t="shared" si="108"/>
        <v>2159.3000000000002</v>
      </c>
      <c r="L451" s="10">
        <f t="shared" si="108"/>
        <v>2159.3000000000002</v>
      </c>
      <c r="M451" s="5" t="s">
        <v>51</v>
      </c>
      <c r="N451" s="1" t="s">
        <v>388</v>
      </c>
      <c r="O451" s="1" t="s">
        <v>657</v>
      </c>
      <c r="P451" s="1" t="s">
        <v>60</v>
      </c>
      <c r="Q451" s="1" t="s">
        <v>60</v>
      </c>
      <c r="R451" s="1" t="s">
        <v>60</v>
      </c>
      <c r="S451">
        <v>1</v>
      </c>
      <c r="T451">
        <v>0</v>
      </c>
      <c r="U451">
        <v>0.03</v>
      </c>
      <c r="AV451" s="1" t="s">
        <v>51</v>
      </c>
      <c r="AW451" s="1" t="s">
        <v>1264</v>
      </c>
      <c r="AX451" s="1" t="s">
        <v>51</v>
      </c>
      <c r="AY451" s="1" t="s">
        <v>51</v>
      </c>
    </row>
    <row r="452" spans="1:51" ht="30" customHeight="1" x14ac:dyDescent="0.3">
      <c r="A452" s="5" t="s">
        <v>762</v>
      </c>
      <c r="B452" s="5" t="s">
        <v>51</v>
      </c>
      <c r="C452" s="5" t="s">
        <v>51</v>
      </c>
      <c r="D452" s="6"/>
      <c r="E452" s="11"/>
      <c r="F452" s="10">
        <f>TRUNC(SUMIF(N449:N451, N448, F449:F451),0)</f>
        <v>2159</v>
      </c>
      <c r="G452" s="11"/>
      <c r="H452" s="10">
        <f>TRUNC(SUMIF(N449:N451, N448, H449:H451),0)</f>
        <v>71976</v>
      </c>
      <c r="I452" s="11"/>
      <c r="J452" s="10">
        <f>TRUNC(SUMIF(N449:N451, N448, J449:J451),0)</f>
        <v>0</v>
      </c>
      <c r="K452" s="11"/>
      <c r="L452" s="10">
        <f>F452+H452+J452</f>
        <v>74135</v>
      </c>
      <c r="M452" s="5" t="s">
        <v>51</v>
      </c>
      <c r="N452" s="1" t="s">
        <v>208</v>
      </c>
      <c r="O452" s="1" t="s">
        <v>208</v>
      </c>
      <c r="P452" s="1" t="s">
        <v>51</v>
      </c>
      <c r="Q452" s="1" t="s">
        <v>51</v>
      </c>
      <c r="R452" s="1" t="s">
        <v>51</v>
      </c>
      <c r="AV452" s="1" t="s">
        <v>51</v>
      </c>
      <c r="AW452" s="1" t="s">
        <v>51</v>
      </c>
      <c r="AX452" s="1" t="s">
        <v>51</v>
      </c>
      <c r="AY452" s="1" t="s">
        <v>51</v>
      </c>
    </row>
    <row r="453" spans="1:51" ht="30" customHeight="1" x14ac:dyDescent="0.3">
      <c r="A453" s="6"/>
      <c r="B453" s="6"/>
      <c r="C453" s="6"/>
      <c r="D453" s="6"/>
      <c r="E453" s="11"/>
      <c r="F453" s="10"/>
      <c r="G453" s="11"/>
      <c r="H453" s="10"/>
      <c r="I453" s="11"/>
      <c r="J453" s="10"/>
      <c r="K453" s="11"/>
      <c r="L453" s="10"/>
      <c r="M453" s="6"/>
    </row>
    <row r="454" spans="1:51" ht="30" customHeight="1" x14ac:dyDescent="0.3">
      <c r="A454" s="37" t="s">
        <v>1265</v>
      </c>
      <c r="B454" s="37"/>
      <c r="C454" s="37"/>
      <c r="D454" s="37"/>
      <c r="E454" s="38"/>
      <c r="F454" s="39"/>
      <c r="G454" s="38"/>
      <c r="H454" s="39"/>
      <c r="I454" s="38"/>
      <c r="J454" s="39"/>
      <c r="K454" s="38"/>
      <c r="L454" s="39"/>
      <c r="M454" s="37"/>
      <c r="N454" s="1" t="s">
        <v>393</v>
      </c>
    </row>
    <row r="455" spans="1:51" ht="30" customHeight="1" x14ac:dyDescent="0.3">
      <c r="A455" s="5" t="s">
        <v>390</v>
      </c>
      <c r="B455" s="5" t="s">
        <v>51</v>
      </c>
      <c r="C455" s="5" t="s">
        <v>1260</v>
      </c>
      <c r="D455" s="6">
        <v>1</v>
      </c>
      <c r="E455" s="11">
        <f>단가대비표!O28</f>
        <v>0</v>
      </c>
      <c r="F455" s="10">
        <f>TRUNC(E455*D455,2)</f>
        <v>0</v>
      </c>
      <c r="G455" s="11">
        <f>단가대비표!P28</f>
        <v>0</v>
      </c>
      <c r="H455" s="10">
        <f>TRUNC(G455*D455,2)</f>
        <v>0</v>
      </c>
      <c r="I455" s="11">
        <f>단가대비표!V28</f>
        <v>0</v>
      </c>
      <c r="J455" s="10">
        <f>TRUNC(I455*D455,2)</f>
        <v>0</v>
      </c>
      <c r="K455" s="11">
        <f t="shared" ref="K455:L457" si="109">TRUNC(E455+G455+I455,2)</f>
        <v>0</v>
      </c>
      <c r="L455" s="10">
        <f t="shared" si="109"/>
        <v>0</v>
      </c>
      <c r="M455" s="5" t="s">
        <v>51</v>
      </c>
      <c r="N455" s="1" t="s">
        <v>393</v>
      </c>
      <c r="O455" s="1" t="s">
        <v>1266</v>
      </c>
      <c r="P455" s="1" t="s">
        <v>60</v>
      </c>
      <c r="Q455" s="1" t="s">
        <v>60</v>
      </c>
      <c r="R455" s="1" t="s">
        <v>61</v>
      </c>
      <c r="AV455" s="1" t="s">
        <v>51</v>
      </c>
      <c r="AW455" s="1" t="s">
        <v>1267</v>
      </c>
      <c r="AX455" s="1" t="s">
        <v>51</v>
      </c>
      <c r="AY455" s="1" t="s">
        <v>51</v>
      </c>
    </row>
    <row r="456" spans="1:51" ht="30" customHeight="1" x14ac:dyDescent="0.3">
      <c r="A456" s="5" t="s">
        <v>769</v>
      </c>
      <c r="B456" s="5" t="s">
        <v>751</v>
      </c>
      <c r="C456" s="5" t="s">
        <v>752</v>
      </c>
      <c r="D456" s="6">
        <f>공량산출근거서!K222</f>
        <v>0.221</v>
      </c>
      <c r="E456" s="11">
        <f>단가대비표!O169</f>
        <v>0</v>
      </c>
      <c r="F456" s="10">
        <f>TRUNC(E456*D456,2)</f>
        <v>0</v>
      </c>
      <c r="G456" s="11">
        <f>단가대비표!P169</f>
        <v>273676</v>
      </c>
      <c r="H456" s="10">
        <f>TRUNC(G456*D456,2)</f>
        <v>60482.39</v>
      </c>
      <c r="I456" s="11">
        <f>단가대비표!V169</f>
        <v>0</v>
      </c>
      <c r="J456" s="10">
        <f>TRUNC(I456*D456,2)</f>
        <v>0</v>
      </c>
      <c r="K456" s="11">
        <f t="shared" si="109"/>
        <v>273676</v>
      </c>
      <c r="L456" s="10">
        <f t="shared" si="109"/>
        <v>60482.39</v>
      </c>
      <c r="M456" s="5" t="s">
        <v>51</v>
      </c>
      <c r="N456" s="1" t="s">
        <v>393</v>
      </c>
      <c r="O456" s="1" t="s">
        <v>770</v>
      </c>
      <c r="P456" s="1" t="s">
        <v>60</v>
      </c>
      <c r="Q456" s="1" t="s">
        <v>60</v>
      </c>
      <c r="R456" s="1" t="s">
        <v>61</v>
      </c>
      <c r="V456">
        <v>1</v>
      </c>
      <c r="AV456" s="1" t="s">
        <v>51</v>
      </c>
      <c r="AW456" s="1" t="s">
        <v>1268</v>
      </c>
      <c r="AX456" s="1" t="s">
        <v>51</v>
      </c>
      <c r="AY456" s="1" t="s">
        <v>51</v>
      </c>
    </row>
    <row r="457" spans="1:51" ht="30" customHeight="1" x14ac:dyDescent="0.3">
      <c r="A457" s="5" t="s">
        <v>758</v>
      </c>
      <c r="B457" s="5" t="s">
        <v>772</v>
      </c>
      <c r="C457" s="5" t="s">
        <v>631</v>
      </c>
      <c r="D457" s="6">
        <v>1</v>
      </c>
      <c r="E457" s="11">
        <f>TRUNC(SUMIF(V455:V457, RIGHTB(O457, 1), H455:H457)*U457, 2)</f>
        <v>1814.47</v>
      </c>
      <c r="F457" s="10">
        <f>TRUNC(E457*D457,2)</f>
        <v>1814.47</v>
      </c>
      <c r="G457" s="11">
        <v>0</v>
      </c>
      <c r="H457" s="10">
        <f>TRUNC(G457*D457,2)</f>
        <v>0</v>
      </c>
      <c r="I457" s="11">
        <v>0</v>
      </c>
      <c r="J457" s="10">
        <f>TRUNC(I457*D457,2)</f>
        <v>0</v>
      </c>
      <c r="K457" s="11">
        <f t="shared" si="109"/>
        <v>1814.47</v>
      </c>
      <c r="L457" s="10">
        <f t="shared" si="109"/>
        <v>1814.47</v>
      </c>
      <c r="M457" s="5" t="s">
        <v>51</v>
      </c>
      <c r="N457" s="1" t="s">
        <v>393</v>
      </c>
      <c r="O457" s="1" t="s">
        <v>657</v>
      </c>
      <c r="P457" s="1" t="s">
        <v>60</v>
      </c>
      <c r="Q457" s="1" t="s">
        <v>60</v>
      </c>
      <c r="R457" s="1" t="s">
        <v>60</v>
      </c>
      <c r="S457">
        <v>1</v>
      </c>
      <c r="T457">
        <v>0</v>
      </c>
      <c r="U457">
        <v>0.03</v>
      </c>
      <c r="AV457" s="1" t="s">
        <v>51</v>
      </c>
      <c r="AW457" s="1" t="s">
        <v>1269</v>
      </c>
      <c r="AX457" s="1" t="s">
        <v>51</v>
      </c>
      <c r="AY457" s="1" t="s">
        <v>51</v>
      </c>
    </row>
    <row r="458" spans="1:51" ht="30" customHeight="1" x14ac:dyDescent="0.3">
      <c r="A458" s="5" t="s">
        <v>762</v>
      </c>
      <c r="B458" s="5" t="s">
        <v>51</v>
      </c>
      <c r="C458" s="5" t="s">
        <v>51</v>
      </c>
      <c r="D458" s="6"/>
      <c r="E458" s="11"/>
      <c r="F458" s="10">
        <f>TRUNC(SUMIF(N455:N457, N454, F455:F457),0)</f>
        <v>1814</v>
      </c>
      <c r="G458" s="11"/>
      <c r="H458" s="10">
        <f>TRUNC(SUMIF(N455:N457, N454, H455:H457),0)</f>
        <v>60482</v>
      </c>
      <c r="I458" s="11"/>
      <c r="J458" s="10">
        <f>TRUNC(SUMIF(N455:N457, N454, J455:J457),0)</f>
        <v>0</v>
      </c>
      <c r="K458" s="11"/>
      <c r="L458" s="10">
        <f>F458+H458+J458</f>
        <v>62296</v>
      </c>
      <c r="M458" s="5" t="s">
        <v>51</v>
      </c>
      <c r="N458" s="1" t="s">
        <v>208</v>
      </c>
      <c r="O458" s="1" t="s">
        <v>208</v>
      </c>
      <c r="P458" s="1" t="s">
        <v>51</v>
      </c>
      <c r="Q458" s="1" t="s">
        <v>51</v>
      </c>
      <c r="R458" s="1" t="s">
        <v>51</v>
      </c>
      <c r="AV458" s="1" t="s">
        <v>51</v>
      </c>
      <c r="AW458" s="1" t="s">
        <v>51</v>
      </c>
      <c r="AX458" s="1" t="s">
        <v>51</v>
      </c>
      <c r="AY458" s="1" t="s">
        <v>51</v>
      </c>
    </row>
    <row r="459" spans="1:51" ht="30" customHeight="1" x14ac:dyDescent="0.3">
      <c r="A459" s="6"/>
      <c r="B459" s="6"/>
      <c r="C459" s="6"/>
      <c r="D459" s="6"/>
      <c r="E459" s="11"/>
      <c r="F459" s="10"/>
      <c r="G459" s="11"/>
      <c r="H459" s="10"/>
      <c r="I459" s="11"/>
      <c r="J459" s="10"/>
      <c r="K459" s="11"/>
      <c r="L459" s="10"/>
      <c r="M459" s="6"/>
    </row>
    <row r="460" spans="1:51" ht="30" customHeight="1" x14ac:dyDescent="0.3">
      <c r="A460" s="37" t="s">
        <v>1270</v>
      </c>
      <c r="B460" s="37"/>
      <c r="C460" s="37"/>
      <c r="D460" s="37"/>
      <c r="E460" s="38"/>
      <c r="F460" s="39"/>
      <c r="G460" s="38"/>
      <c r="H460" s="39"/>
      <c r="I460" s="38"/>
      <c r="J460" s="39"/>
      <c r="K460" s="38"/>
      <c r="L460" s="39"/>
      <c r="M460" s="37"/>
      <c r="N460" s="1" t="s">
        <v>398</v>
      </c>
    </row>
    <row r="461" spans="1:51" ht="30" customHeight="1" x14ac:dyDescent="0.3">
      <c r="A461" s="5" t="s">
        <v>395</v>
      </c>
      <c r="B461" s="5" t="s">
        <v>51</v>
      </c>
      <c r="C461" s="5" t="s">
        <v>1260</v>
      </c>
      <c r="D461" s="6">
        <v>1</v>
      </c>
      <c r="E461" s="11">
        <f>단가대비표!O29</f>
        <v>0</v>
      </c>
      <c r="F461" s="10">
        <f>TRUNC(E461*D461,2)</f>
        <v>0</v>
      </c>
      <c r="G461" s="11">
        <f>단가대비표!P29</f>
        <v>0</v>
      </c>
      <c r="H461" s="10">
        <f>TRUNC(G461*D461,2)</f>
        <v>0</v>
      </c>
      <c r="I461" s="11">
        <f>단가대비표!V29</f>
        <v>0</v>
      </c>
      <c r="J461" s="10">
        <f>TRUNC(I461*D461,2)</f>
        <v>0</v>
      </c>
      <c r="K461" s="11">
        <f t="shared" ref="K461:L463" si="110">TRUNC(E461+G461+I461,2)</f>
        <v>0</v>
      </c>
      <c r="L461" s="10">
        <f t="shared" si="110"/>
        <v>0</v>
      </c>
      <c r="M461" s="5" t="s">
        <v>51</v>
      </c>
      <c r="N461" s="1" t="s">
        <v>398</v>
      </c>
      <c r="O461" s="1" t="s">
        <v>1271</v>
      </c>
      <c r="P461" s="1" t="s">
        <v>60</v>
      </c>
      <c r="Q461" s="1" t="s">
        <v>60</v>
      </c>
      <c r="R461" s="1" t="s">
        <v>61</v>
      </c>
      <c r="AV461" s="1" t="s">
        <v>51</v>
      </c>
      <c r="AW461" s="1" t="s">
        <v>1272</v>
      </c>
      <c r="AX461" s="1" t="s">
        <v>51</v>
      </c>
      <c r="AY461" s="1" t="s">
        <v>51</v>
      </c>
    </row>
    <row r="462" spans="1:51" ht="30" customHeight="1" x14ac:dyDescent="0.3">
      <c r="A462" s="5" t="s">
        <v>769</v>
      </c>
      <c r="B462" s="5" t="s">
        <v>751</v>
      </c>
      <c r="C462" s="5" t="s">
        <v>752</v>
      </c>
      <c r="D462" s="6">
        <f>공량산출근거서!K225</f>
        <v>0.155</v>
      </c>
      <c r="E462" s="11">
        <f>단가대비표!O169</f>
        <v>0</v>
      </c>
      <c r="F462" s="10">
        <f>TRUNC(E462*D462,2)</f>
        <v>0</v>
      </c>
      <c r="G462" s="11">
        <f>단가대비표!P169</f>
        <v>273676</v>
      </c>
      <c r="H462" s="10">
        <f>TRUNC(G462*D462,2)</f>
        <v>42419.78</v>
      </c>
      <c r="I462" s="11">
        <f>단가대비표!V169</f>
        <v>0</v>
      </c>
      <c r="J462" s="10">
        <f>TRUNC(I462*D462,2)</f>
        <v>0</v>
      </c>
      <c r="K462" s="11">
        <f t="shared" si="110"/>
        <v>273676</v>
      </c>
      <c r="L462" s="10">
        <f t="shared" si="110"/>
        <v>42419.78</v>
      </c>
      <c r="M462" s="5" t="s">
        <v>51</v>
      </c>
      <c r="N462" s="1" t="s">
        <v>398</v>
      </c>
      <c r="O462" s="1" t="s">
        <v>770</v>
      </c>
      <c r="P462" s="1" t="s">
        <v>60</v>
      </c>
      <c r="Q462" s="1" t="s">
        <v>60</v>
      </c>
      <c r="R462" s="1" t="s">
        <v>61</v>
      </c>
      <c r="V462">
        <v>1</v>
      </c>
      <c r="AV462" s="1" t="s">
        <v>51</v>
      </c>
      <c r="AW462" s="1" t="s">
        <v>1273</v>
      </c>
      <c r="AX462" s="1" t="s">
        <v>51</v>
      </c>
      <c r="AY462" s="1" t="s">
        <v>51</v>
      </c>
    </row>
    <row r="463" spans="1:51" ht="30" customHeight="1" x14ac:dyDescent="0.3">
      <c r="A463" s="5" t="s">
        <v>758</v>
      </c>
      <c r="B463" s="5" t="s">
        <v>772</v>
      </c>
      <c r="C463" s="5" t="s">
        <v>631</v>
      </c>
      <c r="D463" s="6">
        <v>1</v>
      </c>
      <c r="E463" s="11">
        <f>TRUNC(SUMIF(V461:V463, RIGHTB(O463, 1), H461:H463)*U463, 2)</f>
        <v>1272.5899999999999</v>
      </c>
      <c r="F463" s="10">
        <f>TRUNC(E463*D463,2)</f>
        <v>1272.5899999999999</v>
      </c>
      <c r="G463" s="11">
        <v>0</v>
      </c>
      <c r="H463" s="10">
        <f>TRUNC(G463*D463,2)</f>
        <v>0</v>
      </c>
      <c r="I463" s="11">
        <v>0</v>
      </c>
      <c r="J463" s="10">
        <f>TRUNC(I463*D463,2)</f>
        <v>0</v>
      </c>
      <c r="K463" s="11">
        <f t="shared" si="110"/>
        <v>1272.5899999999999</v>
      </c>
      <c r="L463" s="10">
        <f t="shared" si="110"/>
        <v>1272.5899999999999</v>
      </c>
      <c r="M463" s="5" t="s">
        <v>51</v>
      </c>
      <c r="N463" s="1" t="s">
        <v>398</v>
      </c>
      <c r="O463" s="1" t="s">
        <v>657</v>
      </c>
      <c r="P463" s="1" t="s">
        <v>60</v>
      </c>
      <c r="Q463" s="1" t="s">
        <v>60</v>
      </c>
      <c r="R463" s="1" t="s">
        <v>60</v>
      </c>
      <c r="S463">
        <v>1</v>
      </c>
      <c r="T463">
        <v>0</v>
      </c>
      <c r="U463">
        <v>0.03</v>
      </c>
      <c r="AV463" s="1" t="s">
        <v>51</v>
      </c>
      <c r="AW463" s="1" t="s">
        <v>1274</v>
      </c>
      <c r="AX463" s="1" t="s">
        <v>51</v>
      </c>
      <c r="AY463" s="1" t="s">
        <v>51</v>
      </c>
    </row>
    <row r="464" spans="1:51" ht="30" customHeight="1" x14ac:dyDescent="0.3">
      <c r="A464" s="5" t="s">
        <v>762</v>
      </c>
      <c r="B464" s="5" t="s">
        <v>51</v>
      </c>
      <c r="C464" s="5" t="s">
        <v>51</v>
      </c>
      <c r="D464" s="6"/>
      <c r="E464" s="11"/>
      <c r="F464" s="10">
        <f>TRUNC(SUMIF(N461:N463, N460, F461:F463),0)</f>
        <v>1272</v>
      </c>
      <c r="G464" s="11"/>
      <c r="H464" s="10">
        <f>TRUNC(SUMIF(N461:N463, N460, H461:H463),0)</f>
        <v>42419</v>
      </c>
      <c r="I464" s="11"/>
      <c r="J464" s="10">
        <f>TRUNC(SUMIF(N461:N463, N460, J461:J463),0)</f>
        <v>0</v>
      </c>
      <c r="K464" s="11"/>
      <c r="L464" s="10">
        <f>F464+H464+J464</f>
        <v>43691</v>
      </c>
      <c r="M464" s="5" t="s">
        <v>51</v>
      </c>
      <c r="N464" s="1" t="s">
        <v>208</v>
      </c>
      <c r="O464" s="1" t="s">
        <v>208</v>
      </c>
      <c r="P464" s="1" t="s">
        <v>51</v>
      </c>
      <c r="Q464" s="1" t="s">
        <v>51</v>
      </c>
      <c r="R464" s="1" t="s">
        <v>51</v>
      </c>
      <c r="AV464" s="1" t="s">
        <v>51</v>
      </c>
      <c r="AW464" s="1" t="s">
        <v>51</v>
      </c>
      <c r="AX464" s="1" t="s">
        <v>51</v>
      </c>
      <c r="AY464" s="1" t="s">
        <v>51</v>
      </c>
    </row>
    <row r="465" spans="1:51" ht="30" customHeight="1" x14ac:dyDescent="0.3">
      <c r="A465" s="6"/>
      <c r="B465" s="6"/>
      <c r="C465" s="6"/>
      <c r="D465" s="6"/>
      <c r="E465" s="11"/>
      <c r="F465" s="10"/>
      <c r="G465" s="11"/>
      <c r="H465" s="10"/>
      <c r="I465" s="11"/>
      <c r="J465" s="10"/>
      <c r="K465" s="11"/>
      <c r="L465" s="10"/>
      <c r="M465" s="6"/>
    </row>
    <row r="466" spans="1:51" ht="30" customHeight="1" x14ac:dyDescent="0.3">
      <c r="A466" s="37" t="s">
        <v>1275</v>
      </c>
      <c r="B466" s="37"/>
      <c r="C466" s="37"/>
      <c r="D466" s="37"/>
      <c r="E466" s="38"/>
      <c r="F466" s="39"/>
      <c r="G466" s="38"/>
      <c r="H466" s="39"/>
      <c r="I466" s="38"/>
      <c r="J466" s="39"/>
      <c r="K466" s="38"/>
      <c r="L466" s="39"/>
      <c r="M466" s="37"/>
      <c r="N466" s="1" t="s">
        <v>403</v>
      </c>
    </row>
    <row r="467" spans="1:51" ht="30" customHeight="1" x14ac:dyDescent="0.3">
      <c r="A467" s="5" t="s">
        <v>400</v>
      </c>
      <c r="B467" s="5" t="s">
        <v>51</v>
      </c>
      <c r="C467" s="5" t="s">
        <v>1260</v>
      </c>
      <c r="D467" s="6">
        <v>1</v>
      </c>
      <c r="E467" s="11">
        <f>단가대비표!O30</f>
        <v>0</v>
      </c>
      <c r="F467" s="10">
        <f>TRUNC(E467*D467,2)</f>
        <v>0</v>
      </c>
      <c r="G467" s="11">
        <f>단가대비표!P30</f>
        <v>0</v>
      </c>
      <c r="H467" s="10">
        <f>TRUNC(G467*D467,2)</f>
        <v>0</v>
      </c>
      <c r="I467" s="11">
        <f>단가대비표!V30</f>
        <v>0</v>
      </c>
      <c r="J467" s="10">
        <f>TRUNC(I467*D467,2)</f>
        <v>0</v>
      </c>
      <c r="K467" s="11">
        <f t="shared" ref="K467:L469" si="111">TRUNC(E467+G467+I467,2)</f>
        <v>0</v>
      </c>
      <c r="L467" s="10">
        <f t="shared" si="111"/>
        <v>0</v>
      </c>
      <c r="M467" s="5" t="s">
        <v>51</v>
      </c>
      <c r="N467" s="1" t="s">
        <v>403</v>
      </c>
      <c r="O467" s="1" t="s">
        <v>1276</v>
      </c>
      <c r="P467" s="1" t="s">
        <v>60</v>
      </c>
      <c r="Q467" s="1" t="s">
        <v>60</v>
      </c>
      <c r="R467" s="1" t="s">
        <v>61</v>
      </c>
      <c r="AV467" s="1" t="s">
        <v>51</v>
      </c>
      <c r="AW467" s="1" t="s">
        <v>1277</v>
      </c>
      <c r="AX467" s="1" t="s">
        <v>51</v>
      </c>
      <c r="AY467" s="1" t="s">
        <v>51</v>
      </c>
    </row>
    <row r="468" spans="1:51" ht="30" customHeight="1" x14ac:dyDescent="0.3">
      <c r="A468" s="5" t="s">
        <v>769</v>
      </c>
      <c r="B468" s="5" t="s">
        <v>751</v>
      </c>
      <c r="C468" s="5" t="s">
        <v>752</v>
      </c>
      <c r="D468" s="6">
        <f>공량산출근거서!K228</f>
        <v>0.11700000000000001</v>
      </c>
      <c r="E468" s="11">
        <f>단가대비표!O169</f>
        <v>0</v>
      </c>
      <c r="F468" s="10">
        <f>TRUNC(E468*D468,2)</f>
        <v>0</v>
      </c>
      <c r="G468" s="11">
        <f>단가대비표!P169</f>
        <v>273676</v>
      </c>
      <c r="H468" s="10">
        <f>TRUNC(G468*D468,2)</f>
        <v>32020.09</v>
      </c>
      <c r="I468" s="11">
        <f>단가대비표!V169</f>
        <v>0</v>
      </c>
      <c r="J468" s="10">
        <f>TRUNC(I468*D468,2)</f>
        <v>0</v>
      </c>
      <c r="K468" s="11">
        <f t="shared" si="111"/>
        <v>273676</v>
      </c>
      <c r="L468" s="10">
        <f t="shared" si="111"/>
        <v>32020.09</v>
      </c>
      <c r="M468" s="5" t="s">
        <v>51</v>
      </c>
      <c r="N468" s="1" t="s">
        <v>403</v>
      </c>
      <c r="O468" s="1" t="s">
        <v>770</v>
      </c>
      <c r="P468" s="1" t="s">
        <v>60</v>
      </c>
      <c r="Q468" s="1" t="s">
        <v>60</v>
      </c>
      <c r="R468" s="1" t="s">
        <v>61</v>
      </c>
      <c r="V468">
        <v>1</v>
      </c>
      <c r="AV468" s="1" t="s">
        <v>51</v>
      </c>
      <c r="AW468" s="1" t="s">
        <v>1278</v>
      </c>
      <c r="AX468" s="1" t="s">
        <v>51</v>
      </c>
      <c r="AY468" s="1" t="s">
        <v>51</v>
      </c>
    </row>
    <row r="469" spans="1:51" ht="30" customHeight="1" x14ac:dyDescent="0.3">
      <c r="A469" s="5" t="s">
        <v>758</v>
      </c>
      <c r="B469" s="5" t="s">
        <v>772</v>
      </c>
      <c r="C469" s="5" t="s">
        <v>631</v>
      </c>
      <c r="D469" s="6">
        <v>1</v>
      </c>
      <c r="E469" s="11">
        <f>TRUNC(SUMIF(V467:V469, RIGHTB(O469, 1), H467:H469)*U469, 2)</f>
        <v>960.6</v>
      </c>
      <c r="F469" s="10">
        <f>TRUNC(E469*D469,2)</f>
        <v>960.6</v>
      </c>
      <c r="G469" s="11">
        <v>0</v>
      </c>
      <c r="H469" s="10">
        <f>TRUNC(G469*D469,2)</f>
        <v>0</v>
      </c>
      <c r="I469" s="11">
        <v>0</v>
      </c>
      <c r="J469" s="10">
        <f>TRUNC(I469*D469,2)</f>
        <v>0</v>
      </c>
      <c r="K469" s="11">
        <f t="shared" si="111"/>
        <v>960.6</v>
      </c>
      <c r="L469" s="10">
        <f t="shared" si="111"/>
        <v>960.6</v>
      </c>
      <c r="M469" s="5" t="s">
        <v>51</v>
      </c>
      <c r="N469" s="1" t="s">
        <v>403</v>
      </c>
      <c r="O469" s="1" t="s">
        <v>657</v>
      </c>
      <c r="P469" s="1" t="s">
        <v>60</v>
      </c>
      <c r="Q469" s="1" t="s">
        <v>60</v>
      </c>
      <c r="R469" s="1" t="s">
        <v>60</v>
      </c>
      <c r="S469">
        <v>1</v>
      </c>
      <c r="T469">
        <v>0</v>
      </c>
      <c r="U469">
        <v>0.03</v>
      </c>
      <c r="AV469" s="1" t="s">
        <v>51</v>
      </c>
      <c r="AW469" s="1" t="s">
        <v>1279</v>
      </c>
      <c r="AX469" s="1" t="s">
        <v>51</v>
      </c>
      <c r="AY469" s="1" t="s">
        <v>51</v>
      </c>
    </row>
    <row r="470" spans="1:51" ht="30" customHeight="1" x14ac:dyDescent="0.3">
      <c r="A470" s="5" t="s">
        <v>762</v>
      </c>
      <c r="B470" s="5" t="s">
        <v>51</v>
      </c>
      <c r="C470" s="5" t="s">
        <v>51</v>
      </c>
      <c r="D470" s="6"/>
      <c r="E470" s="11"/>
      <c r="F470" s="10">
        <f>TRUNC(SUMIF(N467:N469, N466, F467:F469),0)</f>
        <v>960</v>
      </c>
      <c r="G470" s="11"/>
      <c r="H470" s="10">
        <f>TRUNC(SUMIF(N467:N469, N466, H467:H469),0)</f>
        <v>32020</v>
      </c>
      <c r="I470" s="11"/>
      <c r="J470" s="10">
        <f>TRUNC(SUMIF(N467:N469, N466, J467:J469),0)</f>
        <v>0</v>
      </c>
      <c r="K470" s="11"/>
      <c r="L470" s="10">
        <f>F470+H470+J470</f>
        <v>32980</v>
      </c>
      <c r="M470" s="5" t="s">
        <v>51</v>
      </c>
      <c r="N470" s="1" t="s">
        <v>208</v>
      </c>
      <c r="O470" s="1" t="s">
        <v>208</v>
      </c>
      <c r="P470" s="1" t="s">
        <v>51</v>
      </c>
      <c r="Q470" s="1" t="s">
        <v>51</v>
      </c>
      <c r="R470" s="1" t="s">
        <v>51</v>
      </c>
      <c r="AV470" s="1" t="s">
        <v>51</v>
      </c>
      <c r="AW470" s="1" t="s">
        <v>51</v>
      </c>
      <c r="AX470" s="1" t="s">
        <v>51</v>
      </c>
      <c r="AY470" s="1" t="s">
        <v>51</v>
      </c>
    </row>
    <row r="471" spans="1:51" ht="30" customHeight="1" x14ac:dyDescent="0.3">
      <c r="A471" s="6"/>
      <c r="B471" s="6"/>
      <c r="C471" s="6"/>
      <c r="D471" s="6"/>
      <c r="E471" s="11"/>
      <c r="F471" s="10"/>
      <c r="G471" s="11"/>
      <c r="H471" s="10"/>
      <c r="I471" s="11"/>
      <c r="J471" s="10"/>
      <c r="K471" s="11"/>
      <c r="L471" s="10"/>
      <c r="M471" s="6"/>
    </row>
    <row r="472" spans="1:51" ht="30" customHeight="1" x14ac:dyDescent="0.3">
      <c r="A472" s="37" t="s">
        <v>1280</v>
      </c>
      <c r="B472" s="37"/>
      <c r="C472" s="37"/>
      <c r="D472" s="37"/>
      <c r="E472" s="38"/>
      <c r="F472" s="39"/>
      <c r="G472" s="38"/>
      <c r="H472" s="39"/>
      <c r="I472" s="38"/>
      <c r="J472" s="39"/>
      <c r="K472" s="38"/>
      <c r="L472" s="39"/>
      <c r="M472" s="37"/>
      <c r="N472" s="1" t="s">
        <v>408</v>
      </c>
    </row>
    <row r="473" spans="1:51" ht="30" customHeight="1" x14ac:dyDescent="0.3">
      <c r="A473" s="5" t="s">
        <v>405</v>
      </c>
      <c r="B473" s="5" t="s">
        <v>51</v>
      </c>
      <c r="C473" s="5" t="s">
        <v>1260</v>
      </c>
      <c r="D473" s="6">
        <v>1</v>
      </c>
      <c r="E473" s="11">
        <f>단가대비표!O31</f>
        <v>0</v>
      </c>
      <c r="F473" s="10">
        <f>TRUNC(E473*D473,2)</f>
        <v>0</v>
      </c>
      <c r="G473" s="11">
        <f>단가대비표!P31</f>
        <v>0</v>
      </c>
      <c r="H473" s="10">
        <f>TRUNC(G473*D473,2)</f>
        <v>0</v>
      </c>
      <c r="I473" s="11">
        <f>단가대비표!V31</f>
        <v>0</v>
      </c>
      <c r="J473" s="10">
        <f>TRUNC(I473*D473,2)</f>
        <v>0</v>
      </c>
      <c r="K473" s="11">
        <f t="shared" ref="K473:L475" si="112">TRUNC(E473+G473+I473,2)</f>
        <v>0</v>
      </c>
      <c r="L473" s="10">
        <f t="shared" si="112"/>
        <v>0</v>
      </c>
      <c r="M473" s="5" t="s">
        <v>51</v>
      </c>
      <c r="N473" s="1" t="s">
        <v>408</v>
      </c>
      <c r="O473" s="1" t="s">
        <v>1281</v>
      </c>
      <c r="P473" s="1" t="s">
        <v>60</v>
      </c>
      <c r="Q473" s="1" t="s">
        <v>60</v>
      </c>
      <c r="R473" s="1" t="s">
        <v>61</v>
      </c>
      <c r="AV473" s="1" t="s">
        <v>51</v>
      </c>
      <c r="AW473" s="1" t="s">
        <v>1282</v>
      </c>
      <c r="AX473" s="1" t="s">
        <v>51</v>
      </c>
      <c r="AY473" s="1" t="s">
        <v>51</v>
      </c>
    </row>
    <row r="474" spans="1:51" ht="30" customHeight="1" x14ac:dyDescent="0.3">
      <c r="A474" s="5" t="s">
        <v>769</v>
      </c>
      <c r="B474" s="5" t="s">
        <v>751</v>
      </c>
      <c r="C474" s="5" t="s">
        <v>752</v>
      </c>
      <c r="D474" s="6">
        <f>공량산출근거서!K231</f>
        <v>0.11700000000000001</v>
      </c>
      <c r="E474" s="11">
        <f>단가대비표!O169</f>
        <v>0</v>
      </c>
      <c r="F474" s="10">
        <f>TRUNC(E474*D474,2)</f>
        <v>0</v>
      </c>
      <c r="G474" s="11">
        <f>단가대비표!P169</f>
        <v>273676</v>
      </c>
      <c r="H474" s="10">
        <f>TRUNC(G474*D474,2)</f>
        <v>32020.09</v>
      </c>
      <c r="I474" s="11">
        <f>단가대비표!V169</f>
        <v>0</v>
      </c>
      <c r="J474" s="10">
        <f>TRUNC(I474*D474,2)</f>
        <v>0</v>
      </c>
      <c r="K474" s="11">
        <f t="shared" si="112"/>
        <v>273676</v>
      </c>
      <c r="L474" s="10">
        <f t="shared" si="112"/>
        <v>32020.09</v>
      </c>
      <c r="M474" s="5" t="s">
        <v>51</v>
      </c>
      <c r="N474" s="1" t="s">
        <v>408</v>
      </c>
      <c r="O474" s="1" t="s">
        <v>770</v>
      </c>
      <c r="P474" s="1" t="s">
        <v>60</v>
      </c>
      <c r="Q474" s="1" t="s">
        <v>60</v>
      </c>
      <c r="R474" s="1" t="s">
        <v>61</v>
      </c>
      <c r="V474">
        <v>1</v>
      </c>
      <c r="AV474" s="1" t="s">
        <v>51</v>
      </c>
      <c r="AW474" s="1" t="s">
        <v>1283</v>
      </c>
      <c r="AX474" s="1" t="s">
        <v>51</v>
      </c>
      <c r="AY474" s="1" t="s">
        <v>51</v>
      </c>
    </row>
    <row r="475" spans="1:51" ht="30" customHeight="1" x14ac:dyDescent="0.3">
      <c r="A475" s="5" t="s">
        <v>758</v>
      </c>
      <c r="B475" s="5" t="s">
        <v>772</v>
      </c>
      <c r="C475" s="5" t="s">
        <v>631</v>
      </c>
      <c r="D475" s="6">
        <v>1</v>
      </c>
      <c r="E475" s="11">
        <f>TRUNC(SUMIF(V473:V475, RIGHTB(O475, 1), H473:H475)*U475, 2)</f>
        <v>960.6</v>
      </c>
      <c r="F475" s="10">
        <f>TRUNC(E475*D475,2)</f>
        <v>960.6</v>
      </c>
      <c r="G475" s="11">
        <v>0</v>
      </c>
      <c r="H475" s="10">
        <f>TRUNC(G475*D475,2)</f>
        <v>0</v>
      </c>
      <c r="I475" s="11">
        <v>0</v>
      </c>
      <c r="J475" s="10">
        <f>TRUNC(I475*D475,2)</f>
        <v>0</v>
      </c>
      <c r="K475" s="11">
        <f t="shared" si="112"/>
        <v>960.6</v>
      </c>
      <c r="L475" s="10">
        <f t="shared" si="112"/>
        <v>960.6</v>
      </c>
      <c r="M475" s="5" t="s">
        <v>51</v>
      </c>
      <c r="N475" s="1" t="s">
        <v>408</v>
      </c>
      <c r="O475" s="1" t="s">
        <v>657</v>
      </c>
      <c r="P475" s="1" t="s">
        <v>60</v>
      </c>
      <c r="Q475" s="1" t="s">
        <v>60</v>
      </c>
      <c r="R475" s="1" t="s">
        <v>60</v>
      </c>
      <c r="S475">
        <v>1</v>
      </c>
      <c r="T475">
        <v>0</v>
      </c>
      <c r="U475">
        <v>0.03</v>
      </c>
      <c r="AV475" s="1" t="s">
        <v>51</v>
      </c>
      <c r="AW475" s="1" t="s">
        <v>1284</v>
      </c>
      <c r="AX475" s="1" t="s">
        <v>51</v>
      </c>
      <c r="AY475" s="1" t="s">
        <v>51</v>
      </c>
    </row>
    <row r="476" spans="1:51" ht="30" customHeight="1" x14ac:dyDescent="0.3">
      <c r="A476" s="5" t="s">
        <v>762</v>
      </c>
      <c r="B476" s="5" t="s">
        <v>51</v>
      </c>
      <c r="C476" s="5" t="s">
        <v>51</v>
      </c>
      <c r="D476" s="6"/>
      <c r="E476" s="11"/>
      <c r="F476" s="10">
        <f>TRUNC(SUMIF(N473:N475, N472, F473:F475),0)</f>
        <v>960</v>
      </c>
      <c r="G476" s="11"/>
      <c r="H476" s="10">
        <f>TRUNC(SUMIF(N473:N475, N472, H473:H475),0)</f>
        <v>32020</v>
      </c>
      <c r="I476" s="11"/>
      <c r="J476" s="10">
        <f>TRUNC(SUMIF(N473:N475, N472, J473:J475),0)</f>
        <v>0</v>
      </c>
      <c r="K476" s="11"/>
      <c r="L476" s="10">
        <f>F476+H476+J476</f>
        <v>32980</v>
      </c>
      <c r="M476" s="5" t="s">
        <v>51</v>
      </c>
      <c r="N476" s="1" t="s">
        <v>208</v>
      </c>
      <c r="O476" s="1" t="s">
        <v>208</v>
      </c>
      <c r="P476" s="1" t="s">
        <v>51</v>
      </c>
      <c r="Q476" s="1" t="s">
        <v>51</v>
      </c>
      <c r="R476" s="1" t="s">
        <v>51</v>
      </c>
      <c r="AV476" s="1" t="s">
        <v>51</v>
      </c>
      <c r="AW476" s="1" t="s">
        <v>51</v>
      </c>
      <c r="AX476" s="1" t="s">
        <v>51</v>
      </c>
      <c r="AY476" s="1" t="s">
        <v>51</v>
      </c>
    </row>
    <row r="477" spans="1:51" ht="30" customHeight="1" x14ac:dyDescent="0.3">
      <c r="A477" s="6"/>
      <c r="B477" s="6"/>
      <c r="C477" s="6"/>
      <c r="D477" s="6"/>
      <c r="E477" s="11"/>
      <c r="F477" s="10"/>
      <c r="G477" s="11"/>
      <c r="H477" s="10"/>
      <c r="I477" s="11"/>
      <c r="J477" s="10"/>
      <c r="K477" s="11"/>
      <c r="L477" s="10"/>
      <c r="M477" s="6"/>
    </row>
    <row r="478" spans="1:51" ht="30" customHeight="1" x14ac:dyDescent="0.3">
      <c r="A478" s="37" t="s">
        <v>1285</v>
      </c>
      <c r="B478" s="37"/>
      <c r="C478" s="37"/>
      <c r="D478" s="37"/>
      <c r="E478" s="38"/>
      <c r="F478" s="39"/>
      <c r="G478" s="38"/>
      <c r="H478" s="39"/>
      <c r="I478" s="38"/>
      <c r="J478" s="39"/>
      <c r="K478" s="38"/>
      <c r="L478" s="39"/>
      <c r="M478" s="37"/>
      <c r="N478" s="1" t="s">
        <v>413</v>
      </c>
    </row>
    <row r="479" spans="1:51" ht="30" customHeight="1" x14ac:dyDescent="0.3">
      <c r="A479" s="5" t="s">
        <v>1286</v>
      </c>
      <c r="B479" s="5" t="s">
        <v>1287</v>
      </c>
      <c r="C479" s="5" t="s">
        <v>58</v>
      </c>
      <c r="D479" s="6">
        <v>1</v>
      </c>
      <c r="E479" s="11">
        <f>단가대비표!O111</f>
        <v>1323</v>
      </c>
      <c r="F479" s="10">
        <f>TRUNC(E479*D479,2)</f>
        <v>1323</v>
      </c>
      <c r="G479" s="11">
        <f>단가대비표!P111</f>
        <v>0</v>
      </c>
      <c r="H479" s="10">
        <f>TRUNC(G479*D479,2)</f>
        <v>0</v>
      </c>
      <c r="I479" s="11">
        <f>단가대비표!V111</f>
        <v>0</v>
      </c>
      <c r="J479" s="10">
        <f>TRUNC(I479*D479,2)</f>
        <v>0</v>
      </c>
      <c r="K479" s="11">
        <f t="shared" ref="K479:L481" si="113">TRUNC(E479+G479+I479,2)</f>
        <v>1323</v>
      </c>
      <c r="L479" s="10">
        <f t="shared" si="113"/>
        <v>1323</v>
      </c>
      <c r="M479" s="5" t="s">
        <v>51</v>
      </c>
      <c r="N479" s="1" t="s">
        <v>413</v>
      </c>
      <c r="O479" s="1" t="s">
        <v>1288</v>
      </c>
      <c r="P479" s="1" t="s">
        <v>60</v>
      </c>
      <c r="Q479" s="1" t="s">
        <v>60</v>
      </c>
      <c r="R479" s="1" t="s">
        <v>61</v>
      </c>
      <c r="AV479" s="1" t="s">
        <v>51</v>
      </c>
      <c r="AW479" s="1" t="s">
        <v>1289</v>
      </c>
      <c r="AX479" s="1" t="s">
        <v>51</v>
      </c>
      <c r="AY479" s="1" t="s">
        <v>51</v>
      </c>
    </row>
    <row r="480" spans="1:51" ht="30" customHeight="1" x14ac:dyDescent="0.3">
      <c r="A480" s="5" t="s">
        <v>769</v>
      </c>
      <c r="B480" s="5" t="s">
        <v>751</v>
      </c>
      <c r="C480" s="5" t="s">
        <v>752</v>
      </c>
      <c r="D480" s="6">
        <f>공량산출근거서!K234</f>
        <v>8.5000000000000006E-2</v>
      </c>
      <c r="E480" s="11">
        <f>단가대비표!O169</f>
        <v>0</v>
      </c>
      <c r="F480" s="10">
        <f>TRUNC(E480*D480,2)</f>
        <v>0</v>
      </c>
      <c r="G480" s="11">
        <f>단가대비표!P169</f>
        <v>273676</v>
      </c>
      <c r="H480" s="10">
        <f>TRUNC(G480*D480,2)</f>
        <v>23262.46</v>
      </c>
      <c r="I480" s="11">
        <f>단가대비표!V169</f>
        <v>0</v>
      </c>
      <c r="J480" s="10">
        <f>TRUNC(I480*D480,2)</f>
        <v>0</v>
      </c>
      <c r="K480" s="11">
        <f t="shared" si="113"/>
        <v>273676</v>
      </c>
      <c r="L480" s="10">
        <f t="shared" si="113"/>
        <v>23262.46</v>
      </c>
      <c r="M480" s="5" t="s">
        <v>51</v>
      </c>
      <c r="N480" s="1" t="s">
        <v>413</v>
      </c>
      <c r="O480" s="1" t="s">
        <v>770</v>
      </c>
      <c r="P480" s="1" t="s">
        <v>60</v>
      </c>
      <c r="Q480" s="1" t="s">
        <v>60</v>
      </c>
      <c r="R480" s="1" t="s">
        <v>61</v>
      </c>
      <c r="V480">
        <v>1</v>
      </c>
      <c r="AV480" s="1" t="s">
        <v>51</v>
      </c>
      <c r="AW480" s="1" t="s">
        <v>1290</v>
      </c>
      <c r="AX480" s="1" t="s">
        <v>51</v>
      </c>
      <c r="AY480" s="1" t="s">
        <v>51</v>
      </c>
    </row>
    <row r="481" spans="1:51" ht="30" customHeight="1" x14ac:dyDescent="0.3">
      <c r="A481" s="5" t="s">
        <v>758</v>
      </c>
      <c r="B481" s="5" t="s">
        <v>759</v>
      </c>
      <c r="C481" s="5" t="s">
        <v>631</v>
      </c>
      <c r="D481" s="6">
        <v>1</v>
      </c>
      <c r="E481" s="11">
        <f>TRUNC(SUMIF(V479:V481, RIGHTB(O481, 1), H479:H481)*U481, 2)</f>
        <v>697.87</v>
      </c>
      <c r="F481" s="10">
        <f>TRUNC(E481*D481,2)</f>
        <v>697.87</v>
      </c>
      <c r="G481" s="11">
        <v>0</v>
      </c>
      <c r="H481" s="10">
        <f>TRUNC(G481*D481,2)</f>
        <v>0</v>
      </c>
      <c r="I481" s="11">
        <v>0</v>
      </c>
      <c r="J481" s="10">
        <f>TRUNC(I481*D481,2)</f>
        <v>0</v>
      </c>
      <c r="K481" s="11">
        <f t="shared" si="113"/>
        <v>697.87</v>
      </c>
      <c r="L481" s="10">
        <f t="shared" si="113"/>
        <v>697.87</v>
      </c>
      <c r="M481" s="5" t="s">
        <v>51</v>
      </c>
      <c r="N481" s="1" t="s">
        <v>413</v>
      </c>
      <c r="O481" s="1" t="s">
        <v>657</v>
      </c>
      <c r="P481" s="1" t="s">
        <v>60</v>
      </c>
      <c r="Q481" s="1" t="s">
        <v>60</v>
      </c>
      <c r="R481" s="1" t="s">
        <v>60</v>
      </c>
      <c r="S481">
        <v>1</v>
      </c>
      <c r="T481">
        <v>0</v>
      </c>
      <c r="U481">
        <v>0.03</v>
      </c>
      <c r="AV481" s="1" t="s">
        <v>51</v>
      </c>
      <c r="AW481" s="1" t="s">
        <v>1291</v>
      </c>
      <c r="AX481" s="1" t="s">
        <v>51</v>
      </c>
      <c r="AY481" s="1" t="s">
        <v>51</v>
      </c>
    </row>
    <row r="482" spans="1:51" ht="30" customHeight="1" x14ac:dyDescent="0.3">
      <c r="A482" s="5" t="s">
        <v>762</v>
      </c>
      <c r="B482" s="5" t="s">
        <v>51</v>
      </c>
      <c r="C482" s="5" t="s">
        <v>51</v>
      </c>
      <c r="D482" s="6"/>
      <c r="E482" s="11"/>
      <c r="F482" s="10">
        <f>TRUNC(SUMIF(N479:N481, N478, F479:F481),0)</f>
        <v>2020</v>
      </c>
      <c r="G482" s="11"/>
      <c r="H482" s="10">
        <f>TRUNC(SUMIF(N479:N481, N478, H479:H481),0)</f>
        <v>23262</v>
      </c>
      <c r="I482" s="11"/>
      <c r="J482" s="10">
        <f>TRUNC(SUMIF(N479:N481, N478, J479:J481),0)</f>
        <v>0</v>
      </c>
      <c r="K482" s="11"/>
      <c r="L482" s="10">
        <f>F482+H482+J482</f>
        <v>25282</v>
      </c>
      <c r="M482" s="5" t="s">
        <v>51</v>
      </c>
      <c r="N482" s="1" t="s">
        <v>208</v>
      </c>
      <c r="O482" s="1" t="s">
        <v>208</v>
      </c>
      <c r="P482" s="1" t="s">
        <v>51</v>
      </c>
      <c r="Q482" s="1" t="s">
        <v>51</v>
      </c>
      <c r="R482" s="1" t="s">
        <v>51</v>
      </c>
      <c r="AV482" s="1" t="s">
        <v>51</v>
      </c>
      <c r="AW482" s="1" t="s">
        <v>51</v>
      </c>
      <c r="AX482" s="1" t="s">
        <v>51</v>
      </c>
      <c r="AY482" s="1" t="s">
        <v>51</v>
      </c>
    </row>
    <row r="483" spans="1:51" ht="30" customHeight="1" x14ac:dyDescent="0.3">
      <c r="A483" s="6"/>
      <c r="B483" s="6"/>
      <c r="C483" s="6"/>
      <c r="D483" s="6"/>
      <c r="E483" s="11"/>
      <c r="F483" s="10"/>
      <c r="G483" s="11"/>
      <c r="H483" s="10"/>
      <c r="I483" s="11"/>
      <c r="J483" s="10"/>
      <c r="K483" s="11"/>
      <c r="L483" s="10"/>
      <c r="M483" s="6"/>
    </row>
    <row r="484" spans="1:51" ht="30" customHeight="1" x14ac:dyDescent="0.3">
      <c r="A484" s="37" t="s">
        <v>1292</v>
      </c>
      <c r="B484" s="37"/>
      <c r="C484" s="37"/>
      <c r="D484" s="37"/>
      <c r="E484" s="38"/>
      <c r="F484" s="39"/>
      <c r="G484" s="38"/>
      <c r="H484" s="39"/>
      <c r="I484" s="38"/>
      <c r="J484" s="39"/>
      <c r="K484" s="38"/>
      <c r="L484" s="39"/>
      <c r="M484" s="37"/>
      <c r="N484" s="1" t="s">
        <v>417</v>
      </c>
    </row>
    <row r="485" spans="1:51" ht="30" customHeight="1" x14ac:dyDescent="0.3">
      <c r="A485" s="5" t="s">
        <v>1286</v>
      </c>
      <c r="B485" s="5" t="s">
        <v>1293</v>
      </c>
      <c r="C485" s="5" t="s">
        <v>58</v>
      </c>
      <c r="D485" s="6">
        <v>1</v>
      </c>
      <c r="E485" s="11">
        <f>단가대비표!O112</f>
        <v>1851</v>
      </c>
      <c r="F485" s="10">
        <f>TRUNC(E485*D485,2)</f>
        <v>1851</v>
      </c>
      <c r="G485" s="11">
        <f>단가대비표!P112</f>
        <v>0</v>
      </c>
      <c r="H485" s="10">
        <f>TRUNC(G485*D485,2)</f>
        <v>0</v>
      </c>
      <c r="I485" s="11">
        <f>단가대비표!V112</f>
        <v>0</v>
      </c>
      <c r="J485" s="10">
        <f>TRUNC(I485*D485,2)</f>
        <v>0</v>
      </c>
      <c r="K485" s="11">
        <f t="shared" ref="K485:L487" si="114">TRUNC(E485+G485+I485,2)</f>
        <v>1851</v>
      </c>
      <c r="L485" s="10">
        <f t="shared" si="114"/>
        <v>1851</v>
      </c>
      <c r="M485" s="5" t="s">
        <v>51</v>
      </c>
      <c r="N485" s="1" t="s">
        <v>417</v>
      </c>
      <c r="O485" s="1" t="s">
        <v>1294</v>
      </c>
      <c r="P485" s="1" t="s">
        <v>60</v>
      </c>
      <c r="Q485" s="1" t="s">
        <v>60</v>
      </c>
      <c r="R485" s="1" t="s">
        <v>61</v>
      </c>
      <c r="AV485" s="1" t="s">
        <v>51</v>
      </c>
      <c r="AW485" s="1" t="s">
        <v>1295</v>
      </c>
      <c r="AX485" s="1" t="s">
        <v>51</v>
      </c>
      <c r="AY485" s="1" t="s">
        <v>51</v>
      </c>
    </row>
    <row r="486" spans="1:51" ht="30" customHeight="1" x14ac:dyDescent="0.3">
      <c r="A486" s="5" t="s">
        <v>769</v>
      </c>
      <c r="B486" s="5" t="s">
        <v>751</v>
      </c>
      <c r="C486" s="5" t="s">
        <v>752</v>
      </c>
      <c r="D486" s="6">
        <f>공량산출근거서!K237</f>
        <v>8.5000000000000006E-2</v>
      </c>
      <c r="E486" s="11">
        <f>단가대비표!O169</f>
        <v>0</v>
      </c>
      <c r="F486" s="10">
        <f>TRUNC(E486*D486,2)</f>
        <v>0</v>
      </c>
      <c r="G486" s="11">
        <f>단가대비표!P169</f>
        <v>273676</v>
      </c>
      <c r="H486" s="10">
        <f>TRUNC(G486*D486,2)</f>
        <v>23262.46</v>
      </c>
      <c r="I486" s="11">
        <f>단가대비표!V169</f>
        <v>0</v>
      </c>
      <c r="J486" s="10">
        <f>TRUNC(I486*D486,2)</f>
        <v>0</v>
      </c>
      <c r="K486" s="11">
        <f t="shared" si="114"/>
        <v>273676</v>
      </c>
      <c r="L486" s="10">
        <f t="shared" si="114"/>
        <v>23262.46</v>
      </c>
      <c r="M486" s="5" t="s">
        <v>51</v>
      </c>
      <c r="N486" s="1" t="s">
        <v>417</v>
      </c>
      <c r="O486" s="1" t="s">
        <v>770</v>
      </c>
      <c r="P486" s="1" t="s">
        <v>60</v>
      </c>
      <c r="Q486" s="1" t="s">
        <v>60</v>
      </c>
      <c r="R486" s="1" t="s">
        <v>61</v>
      </c>
      <c r="V486">
        <v>1</v>
      </c>
      <c r="AV486" s="1" t="s">
        <v>51</v>
      </c>
      <c r="AW486" s="1" t="s">
        <v>1296</v>
      </c>
      <c r="AX486" s="1" t="s">
        <v>51</v>
      </c>
      <c r="AY486" s="1" t="s">
        <v>51</v>
      </c>
    </row>
    <row r="487" spans="1:51" ht="30" customHeight="1" x14ac:dyDescent="0.3">
      <c r="A487" s="5" t="s">
        <v>758</v>
      </c>
      <c r="B487" s="5" t="s">
        <v>759</v>
      </c>
      <c r="C487" s="5" t="s">
        <v>631</v>
      </c>
      <c r="D487" s="6">
        <v>1</v>
      </c>
      <c r="E487" s="11">
        <f>TRUNC(SUMIF(V485:V487, RIGHTB(O487, 1), H485:H487)*U487, 2)</f>
        <v>697.87</v>
      </c>
      <c r="F487" s="10">
        <f>TRUNC(E487*D487,2)</f>
        <v>697.87</v>
      </c>
      <c r="G487" s="11">
        <v>0</v>
      </c>
      <c r="H487" s="10">
        <f>TRUNC(G487*D487,2)</f>
        <v>0</v>
      </c>
      <c r="I487" s="11">
        <v>0</v>
      </c>
      <c r="J487" s="10">
        <f>TRUNC(I487*D487,2)</f>
        <v>0</v>
      </c>
      <c r="K487" s="11">
        <f t="shared" si="114"/>
        <v>697.87</v>
      </c>
      <c r="L487" s="10">
        <f t="shared" si="114"/>
        <v>697.87</v>
      </c>
      <c r="M487" s="5" t="s">
        <v>51</v>
      </c>
      <c r="N487" s="1" t="s">
        <v>417</v>
      </c>
      <c r="O487" s="1" t="s">
        <v>657</v>
      </c>
      <c r="P487" s="1" t="s">
        <v>60</v>
      </c>
      <c r="Q487" s="1" t="s">
        <v>60</v>
      </c>
      <c r="R487" s="1" t="s">
        <v>60</v>
      </c>
      <c r="S487">
        <v>1</v>
      </c>
      <c r="T487">
        <v>0</v>
      </c>
      <c r="U487">
        <v>0.03</v>
      </c>
      <c r="AV487" s="1" t="s">
        <v>51</v>
      </c>
      <c r="AW487" s="1" t="s">
        <v>1297</v>
      </c>
      <c r="AX487" s="1" t="s">
        <v>51</v>
      </c>
      <c r="AY487" s="1" t="s">
        <v>51</v>
      </c>
    </row>
    <row r="488" spans="1:51" ht="30" customHeight="1" x14ac:dyDescent="0.3">
      <c r="A488" s="5" t="s">
        <v>762</v>
      </c>
      <c r="B488" s="5" t="s">
        <v>51</v>
      </c>
      <c r="C488" s="5" t="s">
        <v>51</v>
      </c>
      <c r="D488" s="6"/>
      <c r="E488" s="11"/>
      <c r="F488" s="10">
        <f>TRUNC(SUMIF(N485:N487, N484, F485:F487),0)</f>
        <v>2548</v>
      </c>
      <c r="G488" s="11"/>
      <c r="H488" s="10">
        <f>TRUNC(SUMIF(N485:N487, N484, H485:H487),0)</f>
        <v>23262</v>
      </c>
      <c r="I488" s="11"/>
      <c r="J488" s="10">
        <f>TRUNC(SUMIF(N485:N487, N484, J485:J487),0)</f>
        <v>0</v>
      </c>
      <c r="K488" s="11"/>
      <c r="L488" s="10">
        <f>F488+H488+J488</f>
        <v>25810</v>
      </c>
      <c r="M488" s="5" t="s">
        <v>51</v>
      </c>
      <c r="N488" s="1" t="s">
        <v>208</v>
      </c>
      <c r="O488" s="1" t="s">
        <v>208</v>
      </c>
      <c r="P488" s="1" t="s">
        <v>51</v>
      </c>
      <c r="Q488" s="1" t="s">
        <v>51</v>
      </c>
      <c r="R488" s="1" t="s">
        <v>51</v>
      </c>
      <c r="AV488" s="1" t="s">
        <v>51</v>
      </c>
      <c r="AW488" s="1" t="s">
        <v>51</v>
      </c>
      <c r="AX488" s="1" t="s">
        <v>51</v>
      </c>
      <c r="AY488" s="1" t="s">
        <v>51</v>
      </c>
    </row>
    <row r="489" spans="1:51" ht="30" customHeight="1" x14ac:dyDescent="0.3">
      <c r="A489" s="6"/>
      <c r="B489" s="6"/>
      <c r="C489" s="6"/>
      <c r="D489" s="6"/>
      <c r="E489" s="11"/>
      <c r="F489" s="10"/>
      <c r="G489" s="11"/>
      <c r="H489" s="10"/>
      <c r="I489" s="11"/>
      <c r="J489" s="10"/>
      <c r="K489" s="11"/>
      <c r="L489" s="10"/>
      <c r="M489" s="6"/>
    </row>
    <row r="490" spans="1:51" ht="30" customHeight="1" x14ac:dyDescent="0.3">
      <c r="A490" s="37" t="s">
        <v>1298</v>
      </c>
      <c r="B490" s="37"/>
      <c r="C490" s="37"/>
      <c r="D490" s="37"/>
      <c r="E490" s="38"/>
      <c r="F490" s="39"/>
      <c r="G490" s="38"/>
      <c r="H490" s="39"/>
      <c r="I490" s="38"/>
      <c r="J490" s="39"/>
      <c r="K490" s="38"/>
      <c r="L490" s="39"/>
      <c r="M490" s="37"/>
      <c r="N490" s="1" t="s">
        <v>421</v>
      </c>
    </row>
    <row r="491" spans="1:51" ht="30" customHeight="1" x14ac:dyDescent="0.3">
      <c r="A491" s="5" t="s">
        <v>1286</v>
      </c>
      <c r="B491" s="5" t="s">
        <v>1299</v>
      </c>
      <c r="C491" s="5" t="s">
        <v>58</v>
      </c>
      <c r="D491" s="6">
        <v>1</v>
      </c>
      <c r="E491" s="11">
        <f>단가대비표!O113</f>
        <v>2393</v>
      </c>
      <c r="F491" s="10">
        <f>TRUNC(E491*D491,2)</f>
        <v>2393</v>
      </c>
      <c r="G491" s="11">
        <f>단가대비표!P113</f>
        <v>0</v>
      </c>
      <c r="H491" s="10">
        <f>TRUNC(G491*D491,2)</f>
        <v>0</v>
      </c>
      <c r="I491" s="11">
        <f>단가대비표!V113</f>
        <v>0</v>
      </c>
      <c r="J491" s="10">
        <f>TRUNC(I491*D491,2)</f>
        <v>0</v>
      </c>
      <c r="K491" s="11">
        <f t="shared" ref="K491:L493" si="115">TRUNC(E491+G491+I491,2)</f>
        <v>2393</v>
      </c>
      <c r="L491" s="10">
        <f t="shared" si="115"/>
        <v>2393</v>
      </c>
      <c r="M491" s="5" t="s">
        <v>51</v>
      </c>
      <c r="N491" s="1" t="s">
        <v>421</v>
      </c>
      <c r="O491" s="1" t="s">
        <v>1300</v>
      </c>
      <c r="P491" s="1" t="s">
        <v>60</v>
      </c>
      <c r="Q491" s="1" t="s">
        <v>60</v>
      </c>
      <c r="R491" s="1" t="s">
        <v>61</v>
      </c>
      <c r="AV491" s="1" t="s">
        <v>51</v>
      </c>
      <c r="AW491" s="1" t="s">
        <v>1301</v>
      </c>
      <c r="AX491" s="1" t="s">
        <v>51</v>
      </c>
      <c r="AY491" s="1" t="s">
        <v>51</v>
      </c>
    </row>
    <row r="492" spans="1:51" ht="30" customHeight="1" x14ac:dyDescent="0.3">
      <c r="A492" s="5" t="s">
        <v>769</v>
      </c>
      <c r="B492" s="5" t="s">
        <v>751</v>
      </c>
      <c r="C492" s="5" t="s">
        <v>752</v>
      </c>
      <c r="D492" s="6">
        <f>공량산출근거서!K240</f>
        <v>8.5000000000000006E-2</v>
      </c>
      <c r="E492" s="11">
        <f>단가대비표!O169</f>
        <v>0</v>
      </c>
      <c r="F492" s="10">
        <f>TRUNC(E492*D492,2)</f>
        <v>0</v>
      </c>
      <c r="G492" s="11">
        <f>단가대비표!P169</f>
        <v>273676</v>
      </c>
      <c r="H492" s="10">
        <f>TRUNC(G492*D492,2)</f>
        <v>23262.46</v>
      </c>
      <c r="I492" s="11">
        <f>단가대비표!V169</f>
        <v>0</v>
      </c>
      <c r="J492" s="10">
        <f>TRUNC(I492*D492,2)</f>
        <v>0</v>
      </c>
      <c r="K492" s="11">
        <f t="shared" si="115"/>
        <v>273676</v>
      </c>
      <c r="L492" s="10">
        <f t="shared" si="115"/>
        <v>23262.46</v>
      </c>
      <c r="M492" s="5" t="s">
        <v>51</v>
      </c>
      <c r="N492" s="1" t="s">
        <v>421</v>
      </c>
      <c r="O492" s="1" t="s">
        <v>770</v>
      </c>
      <c r="P492" s="1" t="s">
        <v>60</v>
      </c>
      <c r="Q492" s="1" t="s">
        <v>60</v>
      </c>
      <c r="R492" s="1" t="s">
        <v>61</v>
      </c>
      <c r="V492">
        <v>1</v>
      </c>
      <c r="AV492" s="1" t="s">
        <v>51</v>
      </c>
      <c r="AW492" s="1" t="s">
        <v>1302</v>
      </c>
      <c r="AX492" s="1" t="s">
        <v>51</v>
      </c>
      <c r="AY492" s="1" t="s">
        <v>51</v>
      </c>
    </row>
    <row r="493" spans="1:51" ht="30" customHeight="1" x14ac:dyDescent="0.3">
      <c r="A493" s="5" t="s">
        <v>758</v>
      </c>
      <c r="B493" s="5" t="s">
        <v>759</v>
      </c>
      <c r="C493" s="5" t="s">
        <v>631</v>
      </c>
      <c r="D493" s="6">
        <v>1</v>
      </c>
      <c r="E493" s="11">
        <f>TRUNC(SUMIF(V491:V493, RIGHTB(O493, 1), H491:H493)*U493, 2)</f>
        <v>697.87</v>
      </c>
      <c r="F493" s="10">
        <f>TRUNC(E493*D493,2)</f>
        <v>697.87</v>
      </c>
      <c r="G493" s="11">
        <v>0</v>
      </c>
      <c r="H493" s="10">
        <f>TRUNC(G493*D493,2)</f>
        <v>0</v>
      </c>
      <c r="I493" s="11">
        <v>0</v>
      </c>
      <c r="J493" s="10">
        <f>TRUNC(I493*D493,2)</f>
        <v>0</v>
      </c>
      <c r="K493" s="11">
        <f t="shared" si="115"/>
        <v>697.87</v>
      </c>
      <c r="L493" s="10">
        <f t="shared" si="115"/>
        <v>697.87</v>
      </c>
      <c r="M493" s="5" t="s">
        <v>51</v>
      </c>
      <c r="N493" s="1" t="s">
        <v>421</v>
      </c>
      <c r="O493" s="1" t="s">
        <v>657</v>
      </c>
      <c r="P493" s="1" t="s">
        <v>60</v>
      </c>
      <c r="Q493" s="1" t="s">
        <v>60</v>
      </c>
      <c r="R493" s="1" t="s">
        <v>60</v>
      </c>
      <c r="S493">
        <v>1</v>
      </c>
      <c r="T493">
        <v>0</v>
      </c>
      <c r="U493">
        <v>0.03</v>
      </c>
      <c r="AV493" s="1" t="s">
        <v>51</v>
      </c>
      <c r="AW493" s="1" t="s">
        <v>1303</v>
      </c>
      <c r="AX493" s="1" t="s">
        <v>51</v>
      </c>
      <c r="AY493" s="1" t="s">
        <v>51</v>
      </c>
    </row>
    <row r="494" spans="1:51" ht="30" customHeight="1" x14ac:dyDescent="0.3">
      <c r="A494" s="5" t="s">
        <v>762</v>
      </c>
      <c r="B494" s="5" t="s">
        <v>51</v>
      </c>
      <c r="C494" s="5" t="s">
        <v>51</v>
      </c>
      <c r="D494" s="6"/>
      <c r="E494" s="11"/>
      <c r="F494" s="10">
        <f>TRUNC(SUMIF(N491:N493, N490, F491:F493),0)</f>
        <v>3090</v>
      </c>
      <c r="G494" s="11"/>
      <c r="H494" s="10">
        <f>TRUNC(SUMIF(N491:N493, N490, H491:H493),0)</f>
        <v>23262</v>
      </c>
      <c r="I494" s="11"/>
      <c r="J494" s="10">
        <f>TRUNC(SUMIF(N491:N493, N490, J491:J493),0)</f>
        <v>0</v>
      </c>
      <c r="K494" s="11"/>
      <c r="L494" s="10">
        <f>F494+H494+J494</f>
        <v>26352</v>
      </c>
      <c r="M494" s="5" t="s">
        <v>51</v>
      </c>
      <c r="N494" s="1" t="s">
        <v>208</v>
      </c>
      <c r="O494" s="1" t="s">
        <v>208</v>
      </c>
      <c r="P494" s="1" t="s">
        <v>51</v>
      </c>
      <c r="Q494" s="1" t="s">
        <v>51</v>
      </c>
      <c r="R494" s="1" t="s">
        <v>51</v>
      </c>
      <c r="AV494" s="1" t="s">
        <v>51</v>
      </c>
      <c r="AW494" s="1" t="s">
        <v>51</v>
      </c>
      <c r="AX494" s="1" t="s">
        <v>51</v>
      </c>
      <c r="AY494" s="1" t="s">
        <v>51</v>
      </c>
    </row>
    <row r="495" spans="1:51" ht="30" customHeight="1" x14ac:dyDescent="0.3">
      <c r="A495" s="6"/>
      <c r="B495" s="6"/>
      <c r="C495" s="6"/>
      <c r="D495" s="6"/>
      <c r="E495" s="11"/>
      <c r="F495" s="10"/>
      <c r="G495" s="11"/>
      <c r="H495" s="10"/>
      <c r="I495" s="11"/>
      <c r="J495" s="10"/>
      <c r="K495" s="11"/>
      <c r="L495" s="10"/>
      <c r="M495" s="6"/>
    </row>
    <row r="496" spans="1:51" ht="30" customHeight="1" x14ac:dyDescent="0.3">
      <c r="A496" s="37" t="s">
        <v>1304</v>
      </c>
      <c r="B496" s="37"/>
      <c r="C496" s="37"/>
      <c r="D496" s="37"/>
      <c r="E496" s="38"/>
      <c r="F496" s="39"/>
      <c r="G496" s="38"/>
      <c r="H496" s="39"/>
      <c r="I496" s="38"/>
      <c r="J496" s="39"/>
      <c r="K496" s="38"/>
      <c r="L496" s="39"/>
      <c r="M496" s="37"/>
      <c r="N496" s="1" t="s">
        <v>426</v>
      </c>
    </row>
    <row r="497" spans="1:51" ht="30" customHeight="1" x14ac:dyDescent="0.3">
      <c r="A497" s="5" t="s">
        <v>423</v>
      </c>
      <c r="B497" s="5" t="s">
        <v>51</v>
      </c>
      <c r="C497" s="5" t="s">
        <v>58</v>
      </c>
      <c r="D497" s="6">
        <v>1</v>
      </c>
      <c r="E497" s="11">
        <f>단가대비표!O114</f>
        <v>56000</v>
      </c>
      <c r="F497" s="10">
        <f>TRUNC(E497*D497,2)</f>
        <v>56000</v>
      </c>
      <c r="G497" s="11">
        <f>단가대비표!P114</f>
        <v>0</v>
      </c>
      <c r="H497" s="10">
        <f>TRUNC(G497*D497,2)</f>
        <v>0</v>
      </c>
      <c r="I497" s="11">
        <f>단가대비표!V114</f>
        <v>0</v>
      </c>
      <c r="J497" s="10">
        <f>TRUNC(I497*D497,2)</f>
        <v>0</v>
      </c>
      <c r="K497" s="11">
        <f t="shared" ref="K497:L499" si="116">TRUNC(E497+G497+I497,2)</f>
        <v>56000</v>
      </c>
      <c r="L497" s="10">
        <f t="shared" si="116"/>
        <v>56000</v>
      </c>
      <c r="M497" s="5" t="s">
        <v>51</v>
      </c>
      <c r="N497" s="1" t="s">
        <v>426</v>
      </c>
      <c r="O497" s="1" t="s">
        <v>1305</v>
      </c>
      <c r="P497" s="1" t="s">
        <v>60</v>
      </c>
      <c r="Q497" s="1" t="s">
        <v>60</v>
      </c>
      <c r="R497" s="1" t="s">
        <v>61</v>
      </c>
      <c r="AV497" s="1" t="s">
        <v>51</v>
      </c>
      <c r="AW497" s="1" t="s">
        <v>1306</v>
      </c>
      <c r="AX497" s="1" t="s">
        <v>51</v>
      </c>
      <c r="AY497" s="1" t="s">
        <v>51</v>
      </c>
    </row>
    <row r="498" spans="1:51" ht="30" customHeight="1" x14ac:dyDescent="0.3">
      <c r="A498" s="5" t="s">
        <v>769</v>
      </c>
      <c r="B498" s="5" t="s">
        <v>751</v>
      </c>
      <c r="C498" s="5" t="s">
        <v>752</v>
      </c>
      <c r="D498" s="6">
        <f>공량산출근거서!K243</f>
        <v>8.5000000000000006E-2</v>
      </c>
      <c r="E498" s="11">
        <f>단가대비표!O169</f>
        <v>0</v>
      </c>
      <c r="F498" s="10">
        <f>TRUNC(E498*D498,2)</f>
        <v>0</v>
      </c>
      <c r="G498" s="11">
        <f>단가대비표!P169</f>
        <v>273676</v>
      </c>
      <c r="H498" s="10">
        <f>TRUNC(G498*D498,2)</f>
        <v>23262.46</v>
      </c>
      <c r="I498" s="11">
        <f>단가대비표!V169</f>
        <v>0</v>
      </c>
      <c r="J498" s="10">
        <f>TRUNC(I498*D498,2)</f>
        <v>0</v>
      </c>
      <c r="K498" s="11">
        <f t="shared" si="116"/>
        <v>273676</v>
      </c>
      <c r="L498" s="10">
        <f t="shared" si="116"/>
        <v>23262.46</v>
      </c>
      <c r="M498" s="5" t="s">
        <v>51</v>
      </c>
      <c r="N498" s="1" t="s">
        <v>426</v>
      </c>
      <c r="O498" s="1" t="s">
        <v>770</v>
      </c>
      <c r="P498" s="1" t="s">
        <v>60</v>
      </c>
      <c r="Q498" s="1" t="s">
        <v>60</v>
      </c>
      <c r="R498" s="1" t="s">
        <v>61</v>
      </c>
      <c r="V498">
        <v>1</v>
      </c>
      <c r="AV498" s="1" t="s">
        <v>51</v>
      </c>
      <c r="AW498" s="1" t="s">
        <v>1307</v>
      </c>
      <c r="AX498" s="1" t="s">
        <v>51</v>
      </c>
      <c r="AY498" s="1" t="s">
        <v>51</v>
      </c>
    </row>
    <row r="499" spans="1:51" ht="30" customHeight="1" x14ac:dyDescent="0.3">
      <c r="A499" s="5" t="s">
        <v>758</v>
      </c>
      <c r="B499" s="5" t="s">
        <v>759</v>
      </c>
      <c r="C499" s="5" t="s">
        <v>631</v>
      </c>
      <c r="D499" s="6">
        <v>1</v>
      </c>
      <c r="E499" s="11">
        <f>TRUNC(SUMIF(V497:V499, RIGHTB(O499, 1), H497:H499)*U499, 2)</f>
        <v>697.87</v>
      </c>
      <c r="F499" s="10">
        <f>TRUNC(E499*D499,2)</f>
        <v>697.87</v>
      </c>
      <c r="G499" s="11">
        <v>0</v>
      </c>
      <c r="H499" s="10">
        <f>TRUNC(G499*D499,2)</f>
        <v>0</v>
      </c>
      <c r="I499" s="11">
        <v>0</v>
      </c>
      <c r="J499" s="10">
        <f>TRUNC(I499*D499,2)</f>
        <v>0</v>
      </c>
      <c r="K499" s="11">
        <f t="shared" si="116"/>
        <v>697.87</v>
      </c>
      <c r="L499" s="10">
        <f t="shared" si="116"/>
        <v>697.87</v>
      </c>
      <c r="M499" s="5" t="s">
        <v>51</v>
      </c>
      <c r="N499" s="1" t="s">
        <v>426</v>
      </c>
      <c r="O499" s="1" t="s">
        <v>657</v>
      </c>
      <c r="P499" s="1" t="s">
        <v>60</v>
      </c>
      <c r="Q499" s="1" t="s">
        <v>60</v>
      </c>
      <c r="R499" s="1" t="s">
        <v>60</v>
      </c>
      <c r="S499">
        <v>1</v>
      </c>
      <c r="T499">
        <v>0</v>
      </c>
      <c r="U499">
        <v>0.03</v>
      </c>
      <c r="AV499" s="1" t="s">
        <v>51</v>
      </c>
      <c r="AW499" s="1" t="s">
        <v>1308</v>
      </c>
      <c r="AX499" s="1" t="s">
        <v>51</v>
      </c>
      <c r="AY499" s="1" t="s">
        <v>51</v>
      </c>
    </row>
    <row r="500" spans="1:51" ht="30" customHeight="1" x14ac:dyDescent="0.3">
      <c r="A500" s="5" t="s">
        <v>762</v>
      </c>
      <c r="B500" s="5" t="s">
        <v>51</v>
      </c>
      <c r="C500" s="5" t="s">
        <v>51</v>
      </c>
      <c r="D500" s="6"/>
      <c r="E500" s="11"/>
      <c r="F500" s="10">
        <f>TRUNC(SUMIF(N497:N499, N496, F497:F499),0)</f>
        <v>56697</v>
      </c>
      <c r="G500" s="11"/>
      <c r="H500" s="10">
        <f>TRUNC(SUMIF(N497:N499, N496, H497:H499),0)</f>
        <v>23262</v>
      </c>
      <c r="I500" s="11"/>
      <c r="J500" s="10">
        <f>TRUNC(SUMIF(N497:N499, N496, J497:J499),0)</f>
        <v>0</v>
      </c>
      <c r="K500" s="11"/>
      <c r="L500" s="10">
        <f>F500+H500+J500</f>
        <v>79959</v>
      </c>
      <c r="M500" s="5" t="s">
        <v>51</v>
      </c>
      <c r="N500" s="1" t="s">
        <v>208</v>
      </c>
      <c r="O500" s="1" t="s">
        <v>208</v>
      </c>
      <c r="P500" s="1" t="s">
        <v>51</v>
      </c>
      <c r="Q500" s="1" t="s">
        <v>51</v>
      </c>
      <c r="R500" s="1" t="s">
        <v>51</v>
      </c>
      <c r="AV500" s="1" t="s">
        <v>51</v>
      </c>
      <c r="AW500" s="1" t="s">
        <v>51</v>
      </c>
      <c r="AX500" s="1" t="s">
        <v>51</v>
      </c>
      <c r="AY500" s="1" t="s">
        <v>51</v>
      </c>
    </row>
    <row r="501" spans="1:51" ht="30" customHeight="1" x14ac:dyDescent="0.3">
      <c r="A501" s="6"/>
      <c r="B501" s="6"/>
      <c r="C501" s="6"/>
      <c r="D501" s="6"/>
      <c r="E501" s="11"/>
      <c r="F501" s="10"/>
      <c r="G501" s="11"/>
      <c r="H501" s="10"/>
      <c r="I501" s="11"/>
      <c r="J501" s="10"/>
      <c r="K501" s="11"/>
      <c r="L501" s="10"/>
      <c r="M501" s="6"/>
    </row>
    <row r="502" spans="1:51" ht="30" customHeight="1" x14ac:dyDescent="0.3">
      <c r="A502" s="37" t="s">
        <v>1309</v>
      </c>
      <c r="B502" s="37"/>
      <c r="C502" s="37"/>
      <c r="D502" s="37"/>
      <c r="E502" s="38"/>
      <c r="F502" s="39"/>
      <c r="G502" s="38"/>
      <c r="H502" s="39"/>
      <c r="I502" s="38"/>
      <c r="J502" s="39"/>
      <c r="K502" s="38"/>
      <c r="L502" s="39"/>
      <c r="M502" s="37"/>
      <c r="N502" s="1" t="s">
        <v>430</v>
      </c>
    </row>
    <row r="503" spans="1:51" ht="30" customHeight="1" x14ac:dyDescent="0.3">
      <c r="A503" s="5" t="s">
        <v>308</v>
      </c>
      <c r="B503" s="5" t="s">
        <v>1310</v>
      </c>
      <c r="C503" s="5" t="s">
        <v>58</v>
      </c>
      <c r="D503" s="6">
        <v>1</v>
      </c>
      <c r="E503" s="11">
        <f>단가대비표!O87</f>
        <v>934</v>
      </c>
      <c r="F503" s="10">
        <f>TRUNC(E503*D503,2)</f>
        <v>934</v>
      </c>
      <c r="G503" s="11">
        <f>단가대비표!P87</f>
        <v>0</v>
      </c>
      <c r="H503" s="10">
        <f>TRUNC(G503*D503,2)</f>
        <v>0</v>
      </c>
      <c r="I503" s="11">
        <f>단가대비표!V87</f>
        <v>0</v>
      </c>
      <c r="J503" s="10">
        <f>TRUNC(I503*D503,2)</f>
        <v>0</v>
      </c>
      <c r="K503" s="11">
        <f t="shared" ref="K503:L505" si="117">TRUNC(E503+G503+I503,2)</f>
        <v>934</v>
      </c>
      <c r="L503" s="10">
        <f t="shared" si="117"/>
        <v>934</v>
      </c>
      <c r="M503" s="5" t="s">
        <v>51</v>
      </c>
      <c r="N503" s="1" t="s">
        <v>430</v>
      </c>
      <c r="O503" s="1" t="s">
        <v>1311</v>
      </c>
      <c r="P503" s="1" t="s">
        <v>60</v>
      </c>
      <c r="Q503" s="1" t="s">
        <v>60</v>
      </c>
      <c r="R503" s="1" t="s">
        <v>61</v>
      </c>
      <c r="AV503" s="1" t="s">
        <v>51</v>
      </c>
      <c r="AW503" s="1" t="s">
        <v>1312</v>
      </c>
      <c r="AX503" s="1" t="s">
        <v>51</v>
      </c>
      <c r="AY503" s="1" t="s">
        <v>51</v>
      </c>
    </row>
    <row r="504" spans="1:51" ht="30" customHeight="1" x14ac:dyDescent="0.3">
      <c r="A504" s="5" t="s">
        <v>769</v>
      </c>
      <c r="B504" s="5" t="s">
        <v>751</v>
      </c>
      <c r="C504" s="5" t="s">
        <v>752</v>
      </c>
      <c r="D504" s="6">
        <f>공량산출근거서!K246</f>
        <v>6.5000000000000002E-2</v>
      </c>
      <c r="E504" s="11">
        <f>단가대비표!O169</f>
        <v>0</v>
      </c>
      <c r="F504" s="10">
        <f>TRUNC(E504*D504,2)</f>
        <v>0</v>
      </c>
      <c r="G504" s="11">
        <f>단가대비표!P169</f>
        <v>273676</v>
      </c>
      <c r="H504" s="10">
        <f>TRUNC(G504*D504,2)</f>
        <v>17788.939999999999</v>
      </c>
      <c r="I504" s="11">
        <f>단가대비표!V169</f>
        <v>0</v>
      </c>
      <c r="J504" s="10">
        <f>TRUNC(I504*D504,2)</f>
        <v>0</v>
      </c>
      <c r="K504" s="11">
        <f t="shared" si="117"/>
        <v>273676</v>
      </c>
      <c r="L504" s="10">
        <f t="shared" si="117"/>
        <v>17788.939999999999</v>
      </c>
      <c r="M504" s="5" t="s">
        <v>51</v>
      </c>
      <c r="N504" s="1" t="s">
        <v>430</v>
      </c>
      <c r="O504" s="1" t="s">
        <v>770</v>
      </c>
      <c r="P504" s="1" t="s">
        <v>60</v>
      </c>
      <c r="Q504" s="1" t="s">
        <v>60</v>
      </c>
      <c r="R504" s="1" t="s">
        <v>61</v>
      </c>
      <c r="V504">
        <v>1</v>
      </c>
      <c r="AV504" s="1" t="s">
        <v>51</v>
      </c>
      <c r="AW504" s="1" t="s">
        <v>1313</v>
      </c>
      <c r="AX504" s="1" t="s">
        <v>51</v>
      </c>
      <c r="AY504" s="1" t="s">
        <v>51</v>
      </c>
    </row>
    <row r="505" spans="1:51" ht="30" customHeight="1" x14ac:dyDescent="0.3">
      <c r="A505" s="5" t="s">
        <v>758</v>
      </c>
      <c r="B505" s="5" t="s">
        <v>759</v>
      </c>
      <c r="C505" s="5" t="s">
        <v>631</v>
      </c>
      <c r="D505" s="6">
        <v>1</v>
      </c>
      <c r="E505" s="11">
        <f>TRUNC(SUMIF(V503:V505, RIGHTB(O505, 1), H503:H505)*U505, 2)</f>
        <v>533.66</v>
      </c>
      <c r="F505" s="10">
        <f>TRUNC(E505*D505,2)</f>
        <v>533.66</v>
      </c>
      <c r="G505" s="11">
        <v>0</v>
      </c>
      <c r="H505" s="10">
        <f>TRUNC(G505*D505,2)</f>
        <v>0</v>
      </c>
      <c r="I505" s="11">
        <v>0</v>
      </c>
      <c r="J505" s="10">
        <f>TRUNC(I505*D505,2)</f>
        <v>0</v>
      </c>
      <c r="K505" s="11">
        <f t="shared" si="117"/>
        <v>533.66</v>
      </c>
      <c r="L505" s="10">
        <f t="shared" si="117"/>
        <v>533.66</v>
      </c>
      <c r="M505" s="5" t="s">
        <v>51</v>
      </c>
      <c r="N505" s="1" t="s">
        <v>430</v>
      </c>
      <c r="O505" s="1" t="s">
        <v>657</v>
      </c>
      <c r="P505" s="1" t="s">
        <v>60</v>
      </c>
      <c r="Q505" s="1" t="s">
        <v>60</v>
      </c>
      <c r="R505" s="1" t="s">
        <v>60</v>
      </c>
      <c r="S505">
        <v>1</v>
      </c>
      <c r="T505">
        <v>0</v>
      </c>
      <c r="U505">
        <v>0.03</v>
      </c>
      <c r="AV505" s="1" t="s">
        <v>51</v>
      </c>
      <c r="AW505" s="1" t="s">
        <v>1314</v>
      </c>
      <c r="AX505" s="1" t="s">
        <v>51</v>
      </c>
      <c r="AY505" s="1" t="s">
        <v>51</v>
      </c>
    </row>
    <row r="506" spans="1:51" ht="30" customHeight="1" x14ac:dyDescent="0.3">
      <c r="A506" s="5" t="s">
        <v>762</v>
      </c>
      <c r="B506" s="5" t="s">
        <v>51</v>
      </c>
      <c r="C506" s="5" t="s">
        <v>51</v>
      </c>
      <c r="D506" s="6"/>
      <c r="E506" s="11"/>
      <c r="F506" s="10">
        <f>TRUNC(SUMIF(N503:N505, N502, F503:F505),0)</f>
        <v>1467</v>
      </c>
      <c r="G506" s="11"/>
      <c r="H506" s="10">
        <f>TRUNC(SUMIF(N503:N505, N502, H503:H505),0)</f>
        <v>17788</v>
      </c>
      <c r="I506" s="11"/>
      <c r="J506" s="10">
        <f>TRUNC(SUMIF(N503:N505, N502, J503:J505),0)</f>
        <v>0</v>
      </c>
      <c r="K506" s="11"/>
      <c r="L506" s="10">
        <f>F506+H506+J506</f>
        <v>19255</v>
      </c>
      <c r="M506" s="5" t="s">
        <v>51</v>
      </c>
      <c r="N506" s="1" t="s">
        <v>208</v>
      </c>
      <c r="O506" s="1" t="s">
        <v>208</v>
      </c>
      <c r="P506" s="1" t="s">
        <v>51</v>
      </c>
      <c r="Q506" s="1" t="s">
        <v>51</v>
      </c>
      <c r="R506" s="1" t="s">
        <v>51</v>
      </c>
      <c r="AV506" s="1" t="s">
        <v>51</v>
      </c>
      <c r="AW506" s="1" t="s">
        <v>51</v>
      </c>
      <c r="AX506" s="1" t="s">
        <v>51</v>
      </c>
      <c r="AY506" s="1" t="s">
        <v>51</v>
      </c>
    </row>
    <row r="507" spans="1:51" ht="30" customHeight="1" x14ac:dyDescent="0.3">
      <c r="A507" s="6"/>
      <c r="B507" s="6"/>
      <c r="C507" s="6"/>
      <c r="D507" s="6"/>
      <c r="E507" s="11"/>
      <c r="F507" s="10"/>
      <c r="G507" s="11"/>
      <c r="H507" s="10"/>
      <c r="I507" s="11"/>
      <c r="J507" s="10"/>
      <c r="K507" s="11"/>
      <c r="L507" s="10"/>
      <c r="M507" s="6"/>
    </row>
    <row r="508" spans="1:51" ht="30" customHeight="1" x14ac:dyDescent="0.3">
      <c r="A508" s="37" t="s">
        <v>1315</v>
      </c>
      <c r="B508" s="37"/>
      <c r="C508" s="37"/>
      <c r="D508" s="37"/>
      <c r="E508" s="38"/>
      <c r="F508" s="39"/>
      <c r="G508" s="38"/>
      <c r="H508" s="39"/>
      <c r="I508" s="38"/>
      <c r="J508" s="39"/>
      <c r="K508" s="38"/>
      <c r="L508" s="39"/>
      <c r="M508" s="37"/>
      <c r="N508" s="1" t="s">
        <v>458</v>
      </c>
    </row>
    <row r="509" spans="1:51" ht="30" customHeight="1" x14ac:dyDescent="0.3">
      <c r="A509" s="5" t="s">
        <v>1155</v>
      </c>
      <c r="B509" s="5" t="s">
        <v>1316</v>
      </c>
      <c r="C509" s="5" t="s">
        <v>65</v>
      </c>
      <c r="D509" s="6">
        <v>1</v>
      </c>
      <c r="E509" s="11">
        <f>단가대비표!O136</f>
        <v>240</v>
      </c>
      <c r="F509" s="10">
        <f t="shared" ref="F509:F514" si="118">TRUNC(E509*D509,2)</f>
        <v>240</v>
      </c>
      <c r="G509" s="11">
        <f>단가대비표!P136</f>
        <v>0</v>
      </c>
      <c r="H509" s="10">
        <f t="shared" ref="H509:H514" si="119">TRUNC(G509*D509,2)</f>
        <v>0</v>
      </c>
      <c r="I509" s="11">
        <f>단가대비표!V136</f>
        <v>0</v>
      </c>
      <c r="J509" s="10">
        <f t="shared" ref="J509:J514" si="120">TRUNC(I509*D509,2)</f>
        <v>0</v>
      </c>
      <c r="K509" s="11">
        <f t="shared" ref="K509:L514" si="121">TRUNC(E509+G509+I509,2)</f>
        <v>240</v>
      </c>
      <c r="L509" s="10">
        <f t="shared" si="121"/>
        <v>240</v>
      </c>
      <c r="M509" s="5" t="s">
        <v>51</v>
      </c>
      <c r="N509" s="1" t="s">
        <v>458</v>
      </c>
      <c r="O509" s="1" t="s">
        <v>1317</v>
      </c>
      <c r="P509" s="1" t="s">
        <v>60</v>
      </c>
      <c r="Q509" s="1" t="s">
        <v>60</v>
      </c>
      <c r="R509" s="1" t="s">
        <v>61</v>
      </c>
      <c r="V509">
        <v>1</v>
      </c>
      <c r="W509">
        <v>2</v>
      </c>
      <c r="AV509" s="1" t="s">
        <v>51</v>
      </c>
      <c r="AW509" s="1" t="s">
        <v>1318</v>
      </c>
      <c r="AX509" s="1" t="s">
        <v>51</v>
      </c>
      <c r="AY509" s="1" t="s">
        <v>51</v>
      </c>
    </row>
    <row r="510" spans="1:51" ht="30" customHeight="1" x14ac:dyDescent="0.3">
      <c r="A510" s="5" t="s">
        <v>1155</v>
      </c>
      <c r="B510" s="5" t="s">
        <v>1316</v>
      </c>
      <c r="C510" s="5" t="s">
        <v>65</v>
      </c>
      <c r="D510" s="6">
        <v>0.1</v>
      </c>
      <c r="E510" s="11">
        <f>단가대비표!O136</f>
        <v>240</v>
      </c>
      <c r="F510" s="10">
        <f t="shared" si="118"/>
        <v>24</v>
      </c>
      <c r="G510" s="11">
        <f>단가대비표!P136</f>
        <v>0</v>
      </c>
      <c r="H510" s="10">
        <f t="shared" si="119"/>
        <v>0</v>
      </c>
      <c r="I510" s="11">
        <f>단가대비표!V136</f>
        <v>0</v>
      </c>
      <c r="J510" s="10">
        <f t="shared" si="120"/>
        <v>0</v>
      </c>
      <c r="K510" s="11">
        <f t="shared" si="121"/>
        <v>240</v>
      </c>
      <c r="L510" s="10">
        <f t="shared" si="121"/>
        <v>24</v>
      </c>
      <c r="M510" s="5" t="s">
        <v>51</v>
      </c>
      <c r="N510" s="1" t="s">
        <v>458</v>
      </c>
      <c r="O510" s="1" t="s">
        <v>1317</v>
      </c>
      <c r="P510" s="1" t="s">
        <v>60</v>
      </c>
      <c r="Q510" s="1" t="s">
        <v>60</v>
      </c>
      <c r="R510" s="1" t="s">
        <v>61</v>
      </c>
      <c r="AV510" s="1" t="s">
        <v>51</v>
      </c>
      <c r="AW510" s="1" t="s">
        <v>1318</v>
      </c>
      <c r="AX510" s="1" t="s">
        <v>51</v>
      </c>
      <c r="AY510" s="1" t="s">
        <v>51</v>
      </c>
    </row>
    <row r="511" spans="1:51" ht="30" customHeight="1" x14ac:dyDescent="0.3">
      <c r="A511" s="5" t="s">
        <v>743</v>
      </c>
      <c r="B511" s="5" t="s">
        <v>1160</v>
      </c>
      <c r="C511" s="5" t="s">
        <v>631</v>
      </c>
      <c r="D511" s="6">
        <v>1</v>
      </c>
      <c r="E511" s="11">
        <f>TRUNC(SUMIF(V509:V514, RIGHTB(O511, 1), F509:F514)*U511, 2)</f>
        <v>96</v>
      </c>
      <c r="F511" s="10">
        <f t="shared" si="118"/>
        <v>96</v>
      </c>
      <c r="G511" s="11">
        <v>0</v>
      </c>
      <c r="H511" s="10">
        <f t="shared" si="119"/>
        <v>0</v>
      </c>
      <c r="I511" s="11">
        <v>0</v>
      </c>
      <c r="J511" s="10">
        <f t="shared" si="120"/>
        <v>0</v>
      </c>
      <c r="K511" s="11">
        <f t="shared" si="121"/>
        <v>96</v>
      </c>
      <c r="L511" s="10">
        <f t="shared" si="121"/>
        <v>96</v>
      </c>
      <c r="M511" s="5" t="s">
        <v>51</v>
      </c>
      <c r="N511" s="1" t="s">
        <v>458</v>
      </c>
      <c r="O511" s="1" t="s">
        <v>657</v>
      </c>
      <c r="P511" s="1" t="s">
        <v>60</v>
      </c>
      <c r="Q511" s="1" t="s">
        <v>60</v>
      </c>
      <c r="R511" s="1" t="s">
        <v>60</v>
      </c>
      <c r="S511">
        <v>0</v>
      </c>
      <c r="T511">
        <v>0</v>
      </c>
      <c r="U511">
        <v>0.4</v>
      </c>
      <c r="AV511" s="1" t="s">
        <v>51</v>
      </c>
      <c r="AW511" s="1" t="s">
        <v>1319</v>
      </c>
      <c r="AX511" s="1" t="s">
        <v>51</v>
      </c>
      <c r="AY511" s="1" t="s">
        <v>51</v>
      </c>
    </row>
    <row r="512" spans="1:51" ht="30" customHeight="1" x14ac:dyDescent="0.3">
      <c r="A512" s="5" t="s">
        <v>746</v>
      </c>
      <c r="B512" s="5" t="s">
        <v>786</v>
      </c>
      <c r="C512" s="5" t="s">
        <v>631</v>
      </c>
      <c r="D512" s="6">
        <v>1</v>
      </c>
      <c r="E512" s="11">
        <f>TRUNC(SUMIF(W509:W514, RIGHTB(O512, 1), F509:F514)*U512, 2)</f>
        <v>4.8</v>
      </c>
      <c r="F512" s="10">
        <f t="shared" si="118"/>
        <v>4.8</v>
      </c>
      <c r="G512" s="11">
        <v>0</v>
      </c>
      <c r="H512" s="10">
        <f t="shared" si="119"/>
        <v>0</v>
      </c>
      <c r="I512" s="11">
        <v>0</v>
      </c>
      <c r="J512" s="10">
        <f t="shared" si="120"/>
        <v>0</v>
      </c>
      <c r="K512" s="11">
        <f t="shared" si="121"/>
        <v>4.8</v>
      </c>
      <c r="L512" s="10">
        <f t="shared" si="121"/>
        <v>4.8</v>
      </c>
      <c r="M512" s="5" t="s">
        <v>51</v>
      </c>
      <c r="N512" s="1" t="s">
        <v>458</v>
      </c>
      <c r="O512" s="1" t="s">
        <v>748</v>
      </c>
      <c r="P512" s="1" t="s">
        <v>60</v>
      </c>
      <c r="Q512" s="1" t="s">
        <v>60</v>
      </c>
      <c r="R512" s="1" t="s">
        <v>60</v>
      </c>
      <c r="S512">
        <v>0</v>
      </c>
      <c r="T512">
        <v>0</v>
      </c>
      <c r="U512">
        <v>0.02</v>
      </c>
      <c r="AV512" s="1" t="s">
        <v>51</v>
      </c>
      <c r="AW512" s="1" t="s">
        <v>1320</v>
      </c>
      <c r="AX512" s="1" t="s">
        <v>51</v>
      </c>
      <c r="AY512" s="1" t="s">
        <v>51</v>
      </c>
    </row>
    <row r="513" spans="1:51" ht="30" customHeight="1" x14ac:dyDescent="0.3">
      <c r="A513" s="5" t="s">
        <v>769</v>
      </c>
      <c r="B513" s="5" t="s">
        <v>751</v>
      </c>
      <c r="C513" s="5" t="s">
        <v>752</v>
      </c>
      <c r="D513" s="6">
        <f>공량산출근거서!K250</f>
        <v>4.3200000000000002E-2</v>
      </c>
      <c r="E513" s="11">
        <f>단가대비표!O169</f>
        <v>0</v>
      </c>
      <c r="F513" s="10">
        <f t="shared" si="118"/>
        <v>0</v>
      </c>
      <c r="G513" s="11">
        <f>단가대비표!P169</f>
        <v>273676</v>
      </c>
      <c r="H513" s="10">
        <f t="shared" si="119"/>
        <v>11822.8</v>
      </c>
      <c r="I513" s="11">
        <f>단가대비표!V169</f>
        <v>0</v>
      </c>
      <c r="J513" s="10">
        <f t="shared" si="120"/>
        <v>0</v>
      </c>
      <c r="K513" s="11">
        <f t="shared" si="121"/>
        <v>273676</v>
      </c>
      <c r="L513" s="10">
        <f t="shared" si="121"/>
        <v>11822.8</v>
      </c>
      <c r="M513" s="5" t="s">
        <v>51</v>
      </c>
      <c r="N513" s="1" t="s">
        <v>458</v>
      </c>
      <c r="O513" s="1" t="s">
        <v>770</v>
      </c>
      <c r="P513" s="1" t="s">
        <v>60</v>
      </c>
      <c r="Q513" s="1" t="s">
        <v>60</v>
      </c>
      <c r="R513" s="1" t="s">
        <v>61</v>
      </c>
      <c r="X513">
        <v>3</v>
      </c>
      <c r="AV513" s="1" t="s">
        <v>51</v>
      </c>
      <c r="AW513" s="1" t="s">
        <v>1321</v>
      </c>
      <c r="AX513" s="1" t="s">
        <v>51</v>
      </c>
      <c r="AY513" s="1" t="s">
        <v>51</v>
      </c>
    </row>
    <row r="514" spans="1:51" ht="30" customHeight="1" x14ac:dyDescent="0.3">
      <c r="A514" s="5" t="s">
        <v>758</v>
      </c>
      <c r="B514" s="5" t="s">
        <v>759</v>
      </c>
      <c r="C514" s="5" t="s">
        <v>631</v>
      </c>
      <c r="D514" s="6">
        <v>1</v>
      </c>
      <c r="E514" s="11">
        <f>TRUNC(SUMIF(X509:X514, RIGHTB(O514, 1), H509:H514)*U514, 2)</f>
        <v>354.68</v>
      </c>
      <c r="F514" s="10">
        <f t="shared" si="118"/>
        <v>354.68</v>
      </c>
      <c r="G514" s="11">
        <v>0</v>
      </c>
      <c r="H514" s="10">
        <f t="shared" si="119"/>
        <v>0</v>
      </c>
      <c r="I514" s="11">
        <v>0</v>
      </c>
      <c r="J514" s="10">
        <f t="shared" si="120"/>
        <v>0</v>
      </c>
      <c r="K514" s="11">
        <f t="shared" si="121"/>
        <v>354.68</v>
      </c>
      <c r="L514" s="10">
        <f t="shared" si="121"/>
        <v>354.68</v>
      </c>
      <c r="M514" s="5" t="s">
        <v>51</v>
      </c>
      <c r="N514" s="1" t="s">
        <v>458</v>
      </c>
      <c r="O514" s="1" t="s">
        <v>760</v>
      </c>
      <c r="P514" s="1" t="s">
        <v>60</v>
      </c>
      <c r="Q514" s="1" t="s">
        <v>60</v>
      </c>
      <c r="R514" s="1" t="s">
        <v>60</v>
      </c>
      <c r="S514">
        <v>1</v>
      </c>
      <c r="T514">
        <v>0</v>
      </c>
      <c r="U514">
        <v>0.03</v>
      </c>
      <c r="AV514" s="1" t="s">
        <v>51</v>
      </c>
      <c r="AW514" s="1" t="s">
        <v>1322</v>
      </c>
      <c r="AX514" s="1" t="s">
        <v>51</v>
      </c>
      <c r="AY514" s="1" t="s">
        <v>51</v>
      </c>
    </row>
    <row r="515" spans="1:51" ht="30" customHeight="1" x14ac:dyDescent="0.3">
      <c r="A515" s="5" t="s">
        <v>762</v>
      </c>
      <c r="B515" s="5" t="s">
        <v>51</v>
      </c>
      <c r="C515" s="5" t="s">
        <v>51</v>
      </c>
      <c r="D515" s="6"/>
      <c r="E515" s="11"/>
      <c r="F515" s="10">
        <f>TRUNC(SUMIF(N509:N514, N508, F509:F514),0)</f>
        <v>719</v>
      </c>
      <c r="G515" s="11"/>
      <c r="H515" s="10">
        <f>TRUNC(SUMIF(N509:N514, N508, H509:H514),0)</f>
        <v>11822</v>
      </c>
      <c r="I515" s="11"/>
      <c r="J515" s="10">
        <f>TRUNC(SUMIF(N509:N514, N508, J509:J514),0)</f>
        <v>0</v>
      </c>
      <c r="K515" s="11"/>
      <c r="L515" s="10">
        <f>F515+H515+J515</f>
        <v>12541</v>
      </c>
      <c r="M515" s="5" t="s">
        <v>51</v>
      </c>
      <c r="N515" s="1" t="s">
        <v>208</v>
      </c>
      <c r="O515" s="1" t="s">
        <v>208</v>
      </c>
      <c r="P515" s="1" t="s">
        <v>51</v>
      </c>
      <c r="Q515" s="1" t="s">
        <v>51</v>
      </c>
      <c r="R515" s="1" t="s">
        <v>51</v>
      </c>
      <c r="AV515" s="1" t="s">
        <v>51</v>
      </c>
      <c r="AW515" s="1" t="s">
        <v>51</v>
      </c>
      <c r="AX515" s="1" t="s">
        <v>51</v>
      </c>
      <c r="AY515" s="1" t="s">
        <v>51</v>
      </c>
    </row>
    <row r="516" spans="1:51" ht="30" customHeight="1" x14ac:dyDescent="0.3">
      <c r="A516" s="6"/>
      <c r="B516" s="6"/>
      <c r="C516" s="6"/>
      <c r="D516" s="6"/>
      <c r="E516" s="11"/>
      <c r="F516" s="10"/>
      <c r="G516" s="11"/>
      <c r="H516" s="10"/>
      <c r="I516" s="11"/>
      <c r="J516" s="10"/>
      <c r="K516" s="11"/>
      <c r="L516" s="10"/>
      <c r="M516" s="6"/>
    </row>
    <row r="517" spans="1:51" ht="30" customHeight="1" x14ac:dyDescent="0.3">
      <c r="A517" s="37" t="s">
        <v>1323</v>
      </c>
      <c r="B517" s="37"/>
      <c r="C517" s="37"/>
      <c r="D517" s="37"/>
      <c r="E517" s="38"/>
      <c r="F517" s="39"/>
      <c r="G517" s="38"/>
      <c r="H517" s="39"/>
      <c r="I517" s="38"/>
      <c r="J517" s="39"/>
      <c r="K517" s="38"/>
      <c r="L517" s="39"/>
      <c r="M517" s="37"/>
      <c r="N517" s="1" t="s">
        <v>468</v>
      </c>
    </row>
    <row r="518" spans="1:51" ht="30" customHeight="1" x14ac:dyDescent="0.3">
      <c r="A518" s="5" t="s">
        <v>1178</v>
      </c>
      <c r="B518" s="5" t="s">
        <v>1179</v>
      </c>
      <c r="C518" s="5" t="s">
        <v>65</v>
      </c>
      <c r="D518" s="6">
        <v>1</v>
      </c>
      <c r="E518" s="11">
        <f>단가대비표!O41</f>
        <v>551</v>
      </c>
      <c r="F518" s="10">
        <f>TRUNC(E518*D518,2)</f>
        <v>551</v>
      </c>
      <c r="G518" s="11">
        <f>단가대비표!P41</f>
        <v>0</v>
      </c>
      <c r="H518" s="10">
        <f>TRUNC(G518*D518,2)</f>
        <v>0</v>
      </c>
      <c r="I518" s="11">
        <f>단가대비표!V41</f>
        <v>0</v>
      </c>
      <c r="J518" s="10">
        <f>TRUNC(I518*D518,2)</f>
        <v>0</v>
      </c>
      <c r="K518" s="11">
        <f t="shared" ref="K518:L522" si="122">TRUNC(E518+G518+I518,2)</f>
        <v>551</v>
      </c>
      <c r="L518" s="10">
        <f t="shared" si="122"/>
        <v>551</v>
      </c>
      <c r="M518" s="5" t="s">
        <v>51</v>
      </c>
      <c r="N518" s="1" t="s">
        <v>468</v>
      </c>
      <c r="O518" s="1" t="s">
        <v>1180</v>
      </c>
      <c r="P518" s="1" t="s">
        <v>60</v>
      </c>
      <c r="Q518" s="1" t="s">
        <v>60</v>
      </c>
      <c r="R518" s="1" t="s">
        <v>61</v>
      </c>
      <c r="V518">
        <v>1</v>
      </c>
      <c r="AV518" s="1" t="s">
        <v>51</v>
      </c>
      <c r="AW518" s="1" t="s">
        <v>1324</v>
      </c>
      <c r="AX518" s="1" t="s">
        <v>51</v>
      </c>
      <c r="AY518" s="1" t="s">
        <v>51</v>
      </c>
    </row>
    <row r="519" spans="1:51" ht="30" customHeight="1" x14ac:dyDescent="0.3">
      <c r="A519" s="5" t="s">
        <v>1178</v>
      </c>
      <c r="B519" s="5" t="s">
        <v>1179</v>
      </c>
      <c r="C519" s="5" t="s">
        <v>65</v>
      </c>
      <c r="D519" s="6">
        <v>0.1</v>
      </c>
      <c r="E519" s="11">
        <f>단가대비표!O41</f>
        <v>551</v>
      </c>
      <c r="F519" s="10">
        <f>TRUNC(E519*D519,2)</f>
        <v>55.1</v>
      </c>
      <c r="G519" s="11">
        <f>단가대비표!P41</f>
        <v>0</v>
      </c>
      <c r="H519" s="10">
        <f>TRUNC(G519*D519,2)</f>
        <v>0</v>
      </c>
      <c r="I519" s="11">
        <f>단가대비표!V41</f>
        <v>0</v>
      </c>
      <c r="J519" s="10">
        <f>TRUNC(I519*D519,2)</f>
        <v>0</v>
      </c>
      <c r="K519" s="11">
        <f t="shared" si="122"/>
        <v>551</v>
      </c>
      <c r="L519" s="10">
        <f t="shared" si="122"/>
        <v>55.1</v>
      </c>
      <c r="M519" s="5" t="s">
        <v>51</v>
      </c>
      <c r="N519" s="1" t="s">
        <v>468</v>
      </c>
      <c r="O519" s="1" t="s">
        <v>1180</v>
      </c>
      <c r="P519" s="1" t="s">
        <v>60</v>
      </c>
      <c r="Q519" s="1" t="s">
        <v>60</v>
      </c>
      <c r="R519" s="1" t="s">
        <v>61</v>
      </c>
      <c r="AV519" s="1" t="s">
        <v>51</v>
      </c>
      <c r="AW519" s="1" t="s">
        <v>1324</v>
      </c>
      <c r="AX519" s="1" t="s">
        <v>51</v>
      </c>
      <c r="AY519" s="1" t="s">
        <v>51</v>
      </c>
    </row>
    <row r="520" spans="1:51" ht="30" customHeight="1" x14ac:dyDescent="0.3">
      <c r="A520" s="5" t="s">
        <v>746</v>
      </c>
      <c r="B520" s="5" t="s">
        <v>786</v>
      </c>
      <c r="C520" s="5" t="s">
        <v>631</v>
      </c>
      <c r="D520" s="6">
        <v>1</v>
      </c>
      <c r="E520" s="11">
        <f>TRUNC(SUMIF(V518:V522, RIGHTB(O520, 1), F518:F522)*U520, 2)</f>
        <v>11.02</v>
      </c>
      <c r="F520" s="10">
        <f>TRUNC(E520*D520,2)</f>
        <v>11.02</v>
      </c>
      <c r="G520" s="11">
        <v>0</v>
      </c>
      <c r="H520" s="10">
        <f>TRUNC(G520*D520,2)</f>
        <v>0</v>
      </c>
      <c r="I520" s="11">
        <v>0</v>
      </c>
      <c r="J520" s="10">
        <f>TRUNC(I520*D520,2)</f>
        <v>0</v>
      </c>
      <c r="K520" s="11">
        <f t="shared" si="122"/>
        <v>11.02</v>
      </c>
      <c r="L520" s="10">
        <f t="shared" si="122"/>
        <v>11.02</v>
      </c>
      <c r="M520" s="5" t="s">
        <v>51</v>
      </c>
      <c r="N520" s="1" t="s">
        <v>468</v>
      </c>
      <c r="O520" s="1" t="s">
        <v>657</v>
      </c>
      <c r="P520" s="1" t="s">
        <v>60</v>
      </c>
      <c r="Q520" s="1" t="s">
        <v>60</v>
      </c>
      <c r="R520" s="1" t="s">
        <v>60</v>
      </c>
      <c r="S520">
        <v>0</v>
      </c>
      <c r="T520">
        <v>0</v>
      </c>
      <c r="U520">
        <v>0.02</v>
      </c>
      <c r="AV520" s="1" t="s">
        <v>51</v>
      </c>
      <c r="AW520" s="1" t="s">
        <v>1325</v>
      </c>
      <c r="AX520" s="1" t="s">
        <v>51</v>
      </c>
      <c r="AY520" s="1" t="s">
        <v>51</v>
      </c>
    </row>
    <row r="521" spans="1:51" ht="30" customHeight="1" x14ac:dyDescent="0.3">
      <c r="A521" s="5" t="s">
        <v>769</v>
      </c>
      <c r="B521" s="5" t="s">
        <v>751</v>
      </c>
      <c r="C521" s="5" t="s">
        <v>752</v>
      </c>
      <c r="D521" s="6">
        <f>공량산출근거서!K254</f>
        <v>8.3000000000000001E-3</v>
      </c>
      <c r="E521" s="11">
        <f>단가대비표!O169</f>
        <v>0</v>
      </c>
      <c r="F521" s="10">
        <f>TRUNC(E521*D521,2)</f>
        <v>0</v>
      </c>
      <c r="G521" s="11">
        <f>단가대비표!P169</f>
        <v>273676</v>
      </c>
      <c r="H521" s="10">
        <f>TRUNC(G521*D521,2)</f>
        <v>2271.5100000000002</v>
      </c>
      <c r="I521" s="11">
        <f>단가대비표!V169</f>
        <v>0</v>
      </c>
      <c r="J521" s="10">
        <f>TRUNC(I521*D521,2)</f>
        <v>0</v>
      </c>
      <c r="K521" s="11">
        <f t="shared" si="122"/>
        <v>273676</v>
      </c>
      <c r="L521" s="10">
        <f t="shared" si="122"/>
        <v>2271.5100000000002</v>
      </c>
      <c r="M521" s="5" t="s">
        <v>51</v>
      </c>
      <c r="N521" s="1" t="s">
        <v>468</v>
      </c>
      <c r="O521" s="1" t="s">
        <v>770</v>
      </c>
      <c r="P521" s="1" t="s">
        <v>60</v>
      </c>
      <c r="Q521" s="1" t="s">
        <v>60</v>
      </c>
      <c r="R521" s="1" t="s">
        <v>61</v>
      </c>
      <c r="W521">
        <v>2</v>
      </c>
      <c r="AV521" s="1" t="s">
        <v>51</v>
      </c>
      <c r="AW521" s="1" t="s">
        <v>1326</v>
      </c>
      <c r="AX521" s="1" t="s">
        <v>51</v>
      </c>
      <c r="AY521" s="1" t="s">
        <v>51</v>
      </c>
    </row>
    <row r="522" spans="1:51" ht="30" customHeight="1" x14ac:dyDescent="0.3">
      <c r="A522" s="5" t="s">
        <v>758</v>
      </c>
      <c r="B522" s="5" t="s">
        <v>759</v>
      </c>
      <c r="C522" s="5" t="s">
        <v>631</v>
      </c>
      <c r="D522" s="6">
        <v>1</v>
      </c>
      <c r="E522" s="11">
        <f>TRUNC(SUMIF(W518:W522, RIGHTB(O522, 1), H518:H522)*U522, 2)</f>
        <v>68.14</v>
      </c>
      <c r="F522" s="10">
        <f>TRUNC(E522*D522,2)</f>
        <v>68.14</v>
      </c>
      <c r="G522" s="11">
        <v>0</v>
      </c>
      <c r="H522" s="10">
        <f>TRUNC(G522*D522,2)</f>
        <v>0</v>
      </c>
      <c r="I522" s="11">
        <v>0</v>
      </c>
      <c r="J522" s="10">
        <f>TRUNC(I522*D522,2)</f>
        <v>0</v>
      </c>
      <c r="K522" s="11">
        <f t="shared" si="122"/>
        <v>68.14</v>
      </c>
      <c r="L522" s="10">
        <f t="shared" si="122"/>
        <v>68.14</v>
      </c>
      <c r="M522" s="5" t="s">
        <v>51</v>
      </c>
      <c r="N522" s="1" t="s">
        <v>468</v>
      </c>
      <c r="O522" s="1" t="s">
        <v>748</v>
      </c>
      <c r="P522" s="1" t="s">
        <v>60</v>
      </c>
      <c r="Q522" s="1" t="s">
        <v>60</v>
      </c>
      <c r="R522" s="1" t="s">
        <v>60</v>
      </c>
      <c r="S522">
        <v>1</v>
      </c>
      <c r="T522">
        <v>0</v>
      </c>
      <c r="U522">
        <v>0.03</v>
      </c>
      <c r="AV522" s="1" t="s">
        <v>51</v>
      </c>
      <c r="AW522" s="1" t="s">
        <v>1327</v>
      </c>
      <c r="AX522" s="1" t="s">
        <v>51</v>
      </c>
      <c r="AY522" s="1" t="s">
        <v>51</v>
      </c>
    </row>
    <row r="523" spans="1:51" ht="30" customHeight="1" x14ac:dyDescent="0.3">
      <c r="A523" s="5" t="s">
        <v>762</v>
      </c>
      <c r="B523" s="5" t="s">
        <v>51</v>
      </c>
      <c r="C523" s="5" t="s">
        <v>51</v>
      </c>
      <c r="D523" s="6"/>
      <c r="E523" s="11"/>
      <c r="F523" s="10">
        <f>TRUNC(SUMIF(N518:N522, N517, F518:F522),0)</f>
        <v>685</v>
      </c>
      <c r="G523" s="11"/>
      <c r="H523" s="10">
        <f>TRUNC(SUMIF(N518:N522, N517, H518:H522),0)</f>
        <v>2271</v>
      </c>
      <c r="I523" s="11"/>
      <c r="J523" s="10">
        <f>TRUNC(SUMIF(N518:N522, N517, J518:J522),0)</f>
        <v>0</v>
      </c>
      <c r="K523" s="11"/>
      <c r="L523" s="10">
        <f>F523+H523+J523</f>
        <v>2956</v>
      </c>
      <c r="M523" s="5" t="s">
        <v>51</v>
      </c>
      <c r="N523" s="1" t="s">
        <v>208</v>
      </c>
      <c r="O523" s="1" t="s">
        <v>208</v>
      </c>
      <c r="P523" s="1" t="s">
        <v>51</v>
      </c>
      <c r="Q523" s="1" t="s">
        <v>51</v>
      </c>
      <c r="R523" s="1" t="s">
        <v>51</v>
      </c>
      <c r="AV523" s="1" t="s">
        <v>51</v>
      </c>
      <c r="AW523" s="1" t="s">
        <v>51</v>
      </c>
      <c r="AX523" s="1" t="s">
        <v>51</v>
      </c>
      <c r="AY523" s="1" t="s">
        <v>51</v>
      </c>
    </row>
    <row r="524" spans="1:51" ht="30" customHeight="1" x14ac:dyDescent="0.3">
      <c r="A524" s="6"/>
      <c r="B524" s="6"/>
      <c r="C524" s="6"/>
      <c r="D524" s="6"/>
      <c r="E524" s="11"/>
      <c r="F524" s="10"/>
      <c r="G524" s="11"/>
      <c r="H524" s="10"/>
      <c r="I524" s="11"/>
      <c r="J524" s="10"/>
      <c r="K524" s="11"/>
      <c r="L524" s="10"/>
      <c r="M524" s="6"/>
    </row>
    <row r="525" spans="1:51" ht="30" customHeight="1" x14ac:dyDescent="0.3">
      <c r="A525" s="37" t="s">
        <v>1328</v>
      </c>
      <c r="B525" s="37"/>
      <c r="C525" s="37"/>
      <c r="D525" s="37"/>
      <c r="E525" s="38"/>
      <c r="F525" s="39"/>
      <c r="G525" s="38"/>
      <c r="H525" s="39"/>
      <c r="I525" s="38"/>
      <c r="J525" s="39"/>
      <c r="K525" s="38"/>
      <c r="L525" s="39"/>
      <c r="M525" s="37"/>
      <c r="N525" s="1" t="s">
        <v>472</v>
      </c>
    </row>
    <row r="526" spans="1:51" ht="30" customHeight="1" x14ac:dyDescent="0.3">
      <c r="A526" s="5" t="s">
        <v>1178</v>
      </c>
      <c r="B526" s="5" t="s">
        <v>1179</v>
      </c>
      <c r="C526" s="5" t="s">
        <v>65</v>
      </c>
      <c r="D526" s="6">
        <v>1</v>
      </c>
      <c r="E526" s="11">
        <f>단가대비표!O41</f>
        <v>551</v>
      </c>
      <c r="F526" s="10">
        <f>TRUNC(E526*D526,2)</f>
        <v>551</v>
      </c>
      <c r="G526" s="11">
        <f>단가대비표!P41</f>
        <v>0</v>
      </c>
      <c r="H526" s="10">
        <f>TRUNC(G526*D526,2)</f>
        <v>0</v>
      </c>
      <c r="I526" s="11">
        <f>단가대비표!V41</f>
        <v>0</v>
      </c>
      <c r="J526" s="10">
        <f>TRUNC(I526*D526,2)</f>
        <v>0</v>
      </c>
      <c r="K526" s="11">
        <f t="shared" ref="K526:L530" si="123">TRUNC(E526+G526+I526,2)</f>
        <v>551</v>
      </c>
      <c r="L526" s="10">
        <f t="shared" si="123"/>
        <v>551</v>
      </c>
      <c r="M526" s="5" t="s">
        <v>51</v>
      </c>
      <c r="N526" s="1" t="s">
        <v>472</v>
      </c>
      <c r="O526" s="1" t="s">
        <v>1180</v>
      </c>
      <c r="P526" s="1" t="s">
        <v>60</v>
      </c>
      <c r="Q526" s="1" t="s">
        <v>60</v>
      </c>
      <c r="R526" s="1" t="s">
        <v>61</v>
      </c>
      <c r="V526">
        <v>1</v>
      </c>
      <c r="AV526" s="1" t="s">
        <v>51</v>
      </c>
      <c r="AW526" s="1" t="s">
        <v>1329</v>
      </c>
      <c r="AX526" s="1" t="s">
        <v>51</v>
      </c>
      <c r="AY526" s="1" t="s">
        <v>51</v>
      </c>
    </row>
    <row r="527" spans="1:51" ht="30" customHeight="1" x14ac:dyDescent="0.3">
      <c r="A527" s="5" t="s">
        <v>1178</v>
      </c>
      <c r="B527" s="5" t="s">
        <v>1179</v>
      </c>
      <c r="C527" s="5" t="s">
        <v>65</v>
      </c>
      <c r="D527" s="6">
        <v>0.1</v>
      </c>
      <c r="E527" s="11">
        <f>단가대비표!O41</f>
        <v>551</v>
      </c>
      <c r="F527" s="10">
        <f>TRUNC(E527*D527,2)</f>
        <v>55.1</v>
      </c>
      <c r="G527" s="11">
        <f>단가대비표!P41</f>
        <v>0</v>
      </c>
      <c r="H527" s="10">
        <f>TRUNC(G527*D527,2)</f>
        <v>0</v>
      </c>
      <c r="I527" s="11">
        <f>단가대비표!V41</f>
        <v>0</v>
      </c>
      <c r="J527" s="10">
        <f>TRUNC(I527*D527,2)</f>
        <v>0</v>
      </c>
      <c r="K527" s="11">
        <f t="shared" si="123"/>
        <v>551</v>
      </c>
      <c r="L527" s="10">
        <f t="shared" si="123"/>
        <v>55.1</v>
      </c>
      <c r="M527" s="5" t="s">
        <v>51</v>
      </c>
      <c r="N527" s="1" t="s">
        <v>472</v>
      </c>
      <c r="O527" s="1" t="s">
        <v>1180</v>
      </c>
      <c r="P527" s="1" t="s">
        <v>60</v>
      </c>
      <c r="Q527" s="1" t="s">
        <v>60</v>
      </c>
      <c r="R527" s="1" t="s">
        <v>61</v>
      </c>
      <c r="AV527" s="1" t="s">
        <v>51</v>
      </c>
      <c r="AW527" s="1" t="s">
        <v>1329</v>
      </c>
      <c r="AX527" s="1" t="s">
        <v>51</v>
      </c>
      <c r="AY527" s="1" t="s">
        <v>51</v>
      </c>
    </row>
    <row r="528" spans="1:51" ht="30" customHeight="1" x14ac:dyDescent="0.3">
      <c r="A528" s="5" t="s">
        <v>746</v>
      </c>
      <c r="B528" s="5" t="s">
        <v>786</v>
      </c>
      <c r="C528" s="5" t="s">
        <v>631</v>
      </c>
      <c r="D528" s="6">
        <v>1</v>
      </c>
      <c r="E528" s="11">
        <f>TRUNC(SUMIF(V526:V530, RIGHTB(O528, 1), F526:F530)*U528, 2)</f>
        <v>11.02</v>
      </c>
      <c r="F528" s="10">
        <f>TRUNC(E528*D528,2)</f>
        <v>11.02</v>
      </c>
      <c r="G528" s="11">
        <v>0</v>
      </c>
      <c r="H528" s="10">
        <f>TRUNC(G528*D528,2)</f>
        <v>0</v>
      </c>
      <c r="I528" s="11">
        <v>0</v>
      </c>
      <c r="J528" s="10">
        <f>TRUNC(I528*D528,2)</f>
        <v>0</v>
      </c>
      <c r="K528" s="11">
        <f t="shared" si="123"/>
        <v>11.02</v>
      </c>
      <c r="L528" s="10">
        <f t="shared" si="123"/>
        <v>11.02</v>
      </c>
      <c r="M528" s="5" t="s">
        <v>51</v>
      </c>
      <c r="N528" s="1" t="s">
        <v>472</v>
      </c>
      <c r="O528" s="1" t="s">
        <v>657</v>
      </c>
      <c r="P528" s="1" t="s">
        <v>60</v>
      </c>
      <c r="Q528" s="1" t="s">
        <v>60</v>
      </c>
      <c r="R528" s="1" t="s">
        <v>60</v>
      </c>
      <c r="S528">
        <v>0</v>
      </c>
      <c r="T528">
        <v>0</v>
      </c>
      <c r="U528">
        <v>0.02</v>
      </c>
      <c r="AV528" s="1" t="s">
        <v>51</v>
      </c>
      <c r="AW528" s="1" t="s">
        <v>1330</v>
      </c>
      <c r="AX528" s="1" t="s">
        <v>51</v>
      </c>
      <c r="AY528" s="1" t="s">
        <v>51</v>
      </c>
    </row>
    <row r="529" spans="1:51" ht="30" customHeight="1" x14ac:dyDescent="0.3">
      <c r="A529" s="5" t="s">
        <v>769</v>
      </c>
      <c r="B529" s="5" t="s">
        <v>751</v>
      </c>
      <c r="C529" s="5" t="s">
        <v>752</v>
      </c>
      <c r="D529" s="6">
        <f>공량산출근거서!K258</f>
        <v>8.3000000000000001E-3</v>
      </c>
      <c r="E529" s="11">
        <f>단가대비표!O169</f>
        <v>0</v>
      </c>
      <c r="F529" s="10">
        <f>TRUNC(E529*D529,2)</f>
        <v>0</v>
      </c>
      <c r="G529" s="11">
        <f>단가대비표!P169</f>
        <v>273676</v>
      </c>
      <c r="H529" s="10">
        <f>TRUNC(G529*D529,2)</f>
        <v>2271.5100000000002</v>
      </c>
      <c r="I529" s="11">
        <f>단가대비표!V169</f>
        <v>0</v>
      </c>
      <c r="J529" s="10">
        <f>TRUNC(I529*D529,2)</f>
        <v>0</v>
      </c>
      <c r="K529" s="11">
        <f t="shared" si="123"/>
        <v>273676</v>
      </c>
      <c r="L529" s="10">
        <f t="shared" si="123"/>
        <v>2271.5100000000002</v>
      </c>
      <c r="M529" s="5" t="s">
        <v>51</v>
      </c>
      <c r="N529" s="1" t="s">
        <v>472</v>
      </c>
      <c r="O529" s="1" t="s">
        <v>770</v>
      </c>
      <c r="P529" s="1" t="s">
        <v>60</v>
      </c>
      <c r="Q529" s="1" t="s">
        <v>60</v>
      </c>
      <c r="R529" s="1" t="s">
        <v>61</v>
      </c>
      <c r="W529">
        <v>2</v>
      </c>
      <c r="AV529" s="1" t="s">
        <v>51</v>
      </c>
      <c r="AW529" s="1" t="s">
        <v>1331</v>
      </c>
      <c r="AX529" s="1" t="s">
        <v>51</v>
      </c>
      <c r="AY529" s="1" t="s">
        <v>51</v>
      </c>
    </row>
    <row r="530" spans="1:51" ht="30" customHeight="1" x14ac:dyDescent="0.3">
      <c r="A530" s="5" t="s">
        <v>758</v>
      </c>
      <c r="B530" s="5" t="s">
        <v>759</v>
      </c>
      <c r="C530" s="5" t="s">
        <v>631</v>
      </c>
      <c r="D530" s="6">
        <v>1</v>
      </c>
      <c r="E530" s="11">
        <f>TRUNC(SUMIF(W526:W530, RIGHTB(O530, 1), H526:H530)*U530, 2)</f>
        <v>68.14</v>
      </c>
      <c r="F530" s="10">
        <f>TRUNC(E530*D530,2)</f>
        <v>68.14</v>
      </c>
      <c r="G530" s="11">
        <v>0</v>
      </c>
      <c r="H530" s="10">
        <f>TRUNC(G530*D530,2)</f>
        <v>0</v>
      </c>
      <c r="I530" s="11">
        <v>0</v>
      </c>
      <c r="J530" s="10">
        <f>TRUNC(I530*D530,2)</f>
        <v>0</v>
      </c>
      <c r="K530" s="11">
        <f t="shared" si="123"/>
        <v>68.14</v>
      </c>
      <c r="L530" s="10">
        <f t="shared" si="123"/>
        <v>68.14</v>
      </c>
      <c r="M530" s="5" t="s">
        <v>51</v>
      </c>
      <c r="N530" s="1" t="s">
        <v>472</v>
      </c>
      <c r="O530" s="1" t="s">
        <v>748</v>
      </c>
      <c r="P530" s="1" t="s">
        <v>60</v>
      </c>
      <c r="Q530" s="1" t="s">
        <v>60</v>
      </c>
      <c r="R530" s="1" t="s">
        <v>60</v>
      </c>
      <c r="S530">
        <v>1</v>
      </c>
      <c r="T530">
        <v>0</v>
      </c>
      <c r="U530">
        <v>0.03</v>
      </c>
      <c r="AV530" s="1" t="s">
        <v>51</v>
      </c>
      <c r="AW530" s="1" t="s">
        <v>1332</v>
      </c>
      <c r="AX530" s="1" t="s">
        <v>51</v>
      </c>
      <c r="AY530" s="1" t="s">
        <v>51</v>
      </c>
    </row>
    <row r="531" spans="1:51" ht="30" customHeight="1" x14ac:dyDescent="0.3">
      <c r="A531" s="5" t="s">
        <v>762</v>
      </c>
      <c r="B531" s="5" t="s">
        <v>51</v>
      </c>
      <c r="C531" s="5" t="s">
        <v>51</v>
      </c>
      <c r="D531" s="6"/>
      <c r="E531" s="11"/>
      <c r="F531" s="10">
        <f>TRUNC(SUMIF(N526:N530, N525, F526:F530),0)</f>
        <v>685</v>
      </c>
      <c r="G531" s="11"/>
      <c r="H531" s="10">
        <f>TRUNC(SUMIF(N526:N530, N525, H526:H530),0)</f>
        <v>2271</v>
      </c>
      <c r="I531" s="11"/>
      <c r="J531" s="10">
        <f>TRUNC(SUMIF(N526:N530, N525, J526:J530),0)</f>
        <v>0</v>
      </c>
      <c r="K531" s="11"/>
      <c r="L531" s="10">
        <f>F531+H531+J531</f>
        <v>2956</v>
      </c>
      <c r="M531" s="5" t="s">
        <v>51</v>
      </c>
      <c r="N531" s="1" t="s">
        <v>208</v>
      </c>
      <c r="O531" s="1" t="s">
        <v>208</v>
      </c>
      <c r="P531" s="1" t="s">
        <v>51</v>
      </c>
      <c r="Q531" s="1" t="s">
        <v>51</v>
      </c>
      <c r="R531" s="1" t="s">
        <v>51</v>
      </c>
      <c r="AV531" s="1" t="s">
        <v>51</v>
      </c>
      <c r="AW531" s="1" t="s">
        <v>51</v>
      </c>
      <c r="AX531" s="1" t="s">
        <v>51</v>
      </c>
      <c r="AY531" s="1" t="s">
        <v>51</v>
      </c>
    </row>
    <row r="532" spans="1:51" ht="30" customHeight="1" x14ac:dyDescent="0.3">
      <c r="A532" s="6"/>
      <c r="B532" s="6"/>
      <c r="C532" s="6"/>
      <c r="D532" s="6"/>
      <c r="E532" s="11"/>
      <c r="F532" s="10"/>
      <c r="G532" s="11"/>
      <c r="H532" s="10"/>
      <c r="I532" s="11"/>
      <c r="J532" s="10"/>
      <c r="K532" s="11"/>
      <c r="L532" s="10"/>
      <c r="M532" s="6"/>
    </row>
    <row r="533" spans="1:51" ht="30" customHeight="1" x14ac:dyDescent="0.3">
      <c r="A533" s="37" t="s">
        <v>1333</v>
      </c>
      <c r="B533" s="37"/>
      <c r="C533" s="37"/>
      <c r="D533" s="37"/>
      <c r="E533" s="38"/>
      <c r="F533" s="39"/>
      <c r="G533" s="38"/>
      <c r="H533" s="39"/>
      <c r="I533" s="38"/>
      <c r="J533" s="39"/>
      <c r="K533" s="38"/>
      <c r="L533" s="39"/>
      <c r="M533" s="37"/>
      <c r="N533" s="1" t="s">
        <v>480</v>
      </c>
    </row>
    <row r="534" spans="1:51" ht="30" customHeight="1" x14ac:dyDescent="0.3">
      <c r="A534" s="5" t="s">
        <v>477</v>
      </c>
      <c r="B534" s="5" t="s">
        <v>51</v>
      </c>
      <c r="C534" s="5" t="s">
        <v>1260</v>
      </c>
      <c r="D534" s="6">
        <v>1</v>
      </c>
      <c r="E534" s="11">
        <f>단가대비표!O32</f>
        <v>0</v>
      </c>
      <c r="F534" s="10">
        <f>TRUNC(E534*D534,2)</f>
        <v>0</v>
      </c>
      <c r="G534" s="11">
        <f>단가대비표!P32</f>
        <v>0</v>
      </c>
      <c r="H534" s="10">
        <f>TRUNC(G534*D534,2)</f>
        <v>0</v>
      </c>
      <c r="I534" s="11">
        <f>단가대비표!V32</f>
        <v>0</v>
      </c>
      <c r="J534" s="10">
        <f>TRUNC(I534*D534,2)</f>
        <v>0</v>
      </c>
      <c r="K534" s="11">
        <f t="shared" ref="K534:L536" si="124">TRUNC(E534+G534+I534,2)</f>
        <v>0</v>
      </c>
      <c r="L534" s="10">
        <f t="shared" si="124"/>
        <v>0</v>
      </c>
      <c r="M534" s="5" t="s">
        <v>51</v>
      </c>
      <c r="N534" s="1" t="s">
        <v>480</v>
      </c>
      <c r="O534" s="1" t="s">
        <v>1334</v>
      </c>
      <c r="P534" s="1" t="s">
        <v>60</v>
      </c>
      <c r="Q534" s="1" t="s">
        <v>60</v>
      </c>
      <c r="R534" s="1" t="s">
        <v>61</v>
      </c>
      <c r="AV534" s="1" t="s">
        <v>51</v>
      </c>
      <c r="AW534" s="1" t="s">
        <v>1335</v>
      </c>
      <c r="AX534" s="1" t="s">
        <v>51</v>
      </c>
      <c r="AY534" s="1" t="s">
        <v>51</v>
      </c>
    </row>
    <row r="535" spans="1:51" ht="30" customHeight="1" x14ac:dyDescent="0.3">
      <c r="A535" s="5" t="s">
        <v>769</v>
      </c>
      <c r="B535" s="5" t="s">
        <v>751</v>
      </c>
      <c r="C535" s="5" t="s">
        <v>752</v>
      </c>
      <c r="D535" s="6">
        <f>공량산출근거서!K261</f>
        <v>0.11700000000000001</v>
      </c>
      <c r="E535" s="11">
        <f>단가대비표!O169</f>
        <v>0</v>
      </c>
      <c r="F535" s="10">
        <f>TRUNC(E535*D535,2)</f>
        <v>0</v>
      </c>
      <c r="G535" s="11">
        <f>단가대비표!P169</f>
        <v>273676</v>
      </c>
      <c r="H535" s="10">
        <f>TRUNC(G535*D535,2)</f>
        <v>32020.09</v>
      </c>
      <c r="I535" s="11">
        <f>단가대비표!V169</f>
        <v>0</v>
      </c>
      <c r="J535" s="10">
        <f>TRUNC(I535*D535,2)</f>
        <v>0</v>
      </c>
      <c r="K535" s="11">
        <f t="shared" si="124"/>
        <v>273676</v>
      </c>
      <c r="L535" s="10">
        <f t="shared" si="124"/>
        <v>32020.09</v>
      </c>
      <c r="M535" s="5" t="s">
        <v>51</v>
      </c>
      <c r="N535" s="1" t="s">
        <v>480</v>
      </c>
      <c r="O535" s="1" t="s">
        <v>770</v>
      </c>
      <c r="P535" s="1" t="s">
        <v>60</v>
      </c>
      <c r="Q535" s="1" t="s">
        <v>60</v>
      </c>
      <c r="R535" s="1" t="s">
        <v>61</v>
      </c>
      <c r="V535">
        <v>1</v>
      </c>
      <c r="AV535" s="1" t="s">
        <v>51</v>
      </c>
      <c r="AW535" s="1" t="s">
        <v>1336</v>
      </c>
      <c r="AX535" s="1" t="s">
        <v>51</v>
      </c>
      <c r="AY535" s="1" t="s">
        <v>51</v>
      </c>
    </row>
    <row r="536" spans="1:51" ht="30" customHeight="1" x14ac:dyDescent="0.3">
      <c r="A536" s="5" t="s">
        <v>758</v>
      </c>
      <c r="B536" s="5" t="s">
        <v>772</v>
      </c>
      <c r="C536" s="5" t="s">
        <v>631</v>
      </c>
      <c r="D536" s="6">
        <v>1</v>
      </c>
      <c r="E536" s="11">
        <f>TRUNC(SUMIF(V534:V536, RIGHTB(O536, 1), H534:H536)*U536, 2)</f>
        <v>960.6</v>
      </c>
      <c r="F536" s="10">
        <f>TRUNC(E536*D536,2)</f>
        <v>960.6</v>
      </c>
      <c r="G536" s="11">
        <v>0</v>
      </c>
      <c r="H536" s="10">
        <f>TRUNC(G536*D536,2)</f>
        <v>0</v>
      </c>
      <c r="I536" s="11">
        <v>0</v>
      </c>
      <c r="J536" s="10">
        <f>TRUNC(I536*D536,2)</f>
        <v>0</v>
      </c>
      <c r="K536" s="11">
        <f t="shared" si="124"/>
        <v>960.6</v>
      </c>
      <c r="L536" s="10">
        <f t="shared" si="124"/>
        <v>960.6</v>
      </c>
      <c r="M536" s="5" t="s">
        <v>51</v>
      </c>
      <c r="N536" s="1" t="s">
        <v>480</v>
      </c>
      <c r="O536" s="1" t="s">
        <v>657</v>
      </c>
      <c r="P536" s="1" t="s">
        <v>60</v>
      </c>
      <c r="Q536" s="1" t="s">
        <v>60</v>
      </c>
      <c r="R536" s="1" t="s">
        <v>60</v>
      </c>
      <c r="S536">
        <v>1</v>
      </c>
      <c r="T536">
        <v>0</v>
      </c>
      <c r="U536">
        <v>0.03</v>
      </c>
      <c r="AV536" s="1" t="s">
        <v>51</v>
      </c>
      <c r="AW536" s="1" t="s">
        <v>1337</v>
      </c>
      <c r="AX536" s="1" t="s">
        <v>51</v>
      </c>
      <c r="AY536" s="1" t="s">
        <v>51</v>
      </c>
    </row>
    <row r="537" spans="1:51" ht="30" customHeight="1" x14ac:dyDescent="0.3">
      <c r="A537" s="5" t="s">
        <v>762</v>
      </c>
      <c r="B537" s="5" t="s">
        <v>51</v>
      </c>
      <c r="C537" s="5" t="s">
        <v>51</v>
      </c>
      <c r="D537" s="6"/>
      <c r="E537" s="11"/>
      <c r="F537" s="10">
        <f>TRUNC(SUMIF(N534:N536, N533, F534:F536),0)</f>
        <v>960</v>
      </c>
      <c r="G537" s="11"/>
      <c r="H537" s="10">
        <f>TRUNC(SUMIF(N534:N536, N533, H534:H536),0)</f>
        <v>32020</v>
      </c>
      <c r="I537" s="11"/>
      <c r="J537" s="10">
        <f>TRUNC(SUMIF(N534:N536, N533, J534:J536),0)</f>
        <v>0</v>
      </c>
      <c r="K537" s="11"/>
      <c r="L537" s="10">
        <f>F537+H537+J537</f>
        <v>32980</v>
      </c>
      <c r="M537" s="5" t="s">
        <v>51</v>
      </c>
      <c r="N537" s="1" t="s">
        <v>208</v>
      </c>
      <c r="O537" s="1" t="s">
        <v>208</v>
      </c>
      <c r="P537" s="1" t="s">
        <v>51</v>
      </c>
      <c r="Q537" s="1" t="s">
        <v>51</v>
      </c>
      <c r="R537" s="1" t="s">
        <v>51</v>
      </c>
      <c r="AV537" s="1" t="s">
        <v>51</v>
      </c>
      <c r="AW537" s="1" t="s">
        <v>51</v>
      </c>
      <c r="AX537" s="1" t="s">
        <v>51</v>
      </c>
      <c r="AY537" s="1" t="s">
        <v>51</v>
      </c>
    </row>
    <row r="538" spans="1:51" ht="30" customHeight="1" x14ac:dyDescent="0.3">
      <c r="A538" s="6"/>
      <c r="B538" s="6"/>
      <c r="C538" s="6"/>
      <c r="D538" s="6"/>
      <c r="E538" s="11"/>
      <c r="F538" s="10"/>
      <c r="G538" s="11"/>
      <c r="H538" s="10"/>
      <c r="I538" s="11"/>
      <c r="J538" s="10"/>
      <c r="K538" s="11"/>
      <c r="L538" s="10"/>
      <c r="M538" s="6"/>
    </row>
    <row r="539" spans="1:51" ht="30" customHeight="1" x14ac:dyDescent="0.3">
      <c r="A539" s="37" t="s">
        <v>1338</v>
      </c>
      <c r="B539" s="37"/>
      <c r="C539" s="37"/>
      <c r="D539" s="37"/>
      <c r="E539" s="38"/>
      <c r="F539" s="39"/>
      <c r="G539" s="38"/>
      <c r="H539" s="39"/>
      <c r="I539" s="38"/>
      <c r="J539" s="39"/>
      <c r="K539" s="38"/>
      <c r="L539" s="39"/>
      <c r="M539" s="37"/>
      <c r="N539" s="1" t="s">
        <v>489</v>
      </c>
    </row>
    <row r="540" spans="1:51" ht="30" customHeight="1" x14ac:dyDescent="0.3">
      <c r="A540" s="5" t="s">
        <v>740</v>
      </c>
      <c r="B540" s="5" t="s">
        <v>487</v>
      </c>
      <c r="C540" s="5" t="s">
        <v>65</v>
      </c>
      <c r="D540" s="6">
        <v>1</v>
      </c>
      <c r="E540" s="11">
        <f>단가대비표!O130</f>
        <v>342</v>
      </c>
      <c r="F540" s="10">
        <f t="shared" ref="F540:F546" si="125">TRUNC(E540*D540,2)</f>
        <v>342</v>
      </c>
      <c r="G540" s="11">
        <f>단가대비표!P130</f>
        <v>0</v>
      </c>
      <c r="H540" s="10">
        <f t="shared" ref="H540:H546" si="126">TRUNC(G540*D540,2)</f>
        <v>0</v>
      </c>
      <c r="I540" s="11">
        <f>단가대비표!V130</f>
        <v>0</v>
      </c>
      <c r="J540" s="10">
        <f t="shared" ref="J540:J546" si="127">TRUNC(I540*D540,2)</f>
        <v>0</v>
      </c>
      <c r="K540" s="11">
        <f t="shared" ref="K540:L546" si="128">TRUNC(E540+G540+I540,2)</f>
        <v>342</v>
      </c>
      <c r="L540" s="10">
        <f t="shared" si="128"/>
        <v>342</v>
      </c>
      <c r="M540" s="5" t="s">
        <v>51</v>
      </c>
      <c r="N540" s="1" t="s">
        <v>489</v>
      </c>
      <c r="O540" s="1" t="s">
        <v>1339</v>
      </c>
      <c r="P540" s="1" t="s">
        <v>60</v>
      </c>
      <c r="Q540" s="1" t="s">
        <v>60</v>
      </c>
      <c r="R540" s="1" t="s">
        <v>61</v>
      </c>
      <c r="V540">
        <v>1</v>
      </c>
      <c r="W540">
        <v>2</v>
      </c>
      <c r="AV540" s="1" t="s">
        <v>51</v>
      </c>
      <c r="AW540" s="1" t="s">
        <v>1340</v>
      </c>
      <c r="AX540" s="1" t="s">
        <v>51</v>
      </c>
      <c r="AY540" s="1" t="s">
        <v>51</v>
      </c>
    </row>
    <row r="541" spans="1:51" ht="30" customHeight="1" x14ac:dyDescent="0.3">
      <c r="A541" s="5" t="s">
        <v>740</v>
      </c>
      <c r="B541" s="5" t="s">
        <v>487</v>
      </c>
      <c r="C541" s="5" t="s">
        <v>65</v>
      </c>
      <c r="D541" s="6">
        <v>0.03</v>
      </c>
      <c r="E541" s="11">
        <f>단가대비표!O130</f>
        <v>342</v>
      </c>
      <c r="F541" s="10">
        <f t="shared" si="125"/>
        <v>10.26</v>
      </c>
      <c r="G541" s="11">
        <f>단가대비표!P130</f>
        <v>0</v>
      </c>
      <c r="H541" s="10">
        <f t="shared" si="126"/>
        <v>0</v>
      </c>
      <c r="I541" s="11">
        <f>단가대비표!V130</f>
        <v>0</v>
      </c>
      <c r="J541" s="10">
        <f t="shared" si="127"/>
        <v>0</v>
      </c>
      <c r="K541" s="11">
        <f t="shared" si="128"/>
        <v>342</v>
      </c>
      <c r="L541" s="10">
        <f t="shared" si="128"/>
        <v>10.26</v>
      </c>
      <c r="M541" s="5" t="s">
        <v>51</v>
      </c>
      <c r="N541" s="1" t="s">
        <v>489</v>
      </c>
      <c r="O541" s="1" t="s">
        <v>1339</v>
      </c>
      <c r="P541" s="1" t="s">
        <v>60</v>
      </c>
      <c r="Q541" s="1" t="s">
        <v>60</v>
      </c>
      <c r="R541" s="1" t="s">
        <v>61</v>
      </c>
      <c r="AV541" s="1" t="s">
        <v>51</v>
      </c>
      <c r="AW541" s="1" t="s">
        <v>1340</v>
      </c>
      <c r="AX541" s="1" t="s">
        <v>51</v>
      </c>
      <c r="AY541" s="1" t="s">
        <v>51</v>
      </c>
    </row>
    <row r="542" spans="1:51" ht="30" customHeight="1" x14ac:dyDescent="0.3">
      <c r="A542" s="5" t="s">
        <v>743</v>
      </c>
      <c r="B542" s="5" t="s">
        <v>744</v>
      </c>
      <c r="C542" s="5" t="s">
        <v>631</v>
      </c>
      <c r="D542" s="6">
        <v>1</v>
      </c>
      <c r="E542" s="11">
        <f>TRUNC(SUMIF(V540:V546, RIGHTB(O542, 1), F540:F546)*U542, 2)</f>
        <v>51.3</v>
      </c>
      <c r="F542" s="10">
        <f t="shared" si="125"/>
        <v>51.3</v>
      </c>
      <c r="G542" s="11">
        <v>0</v>
      </c>
      <c r="H542" s="10">
        <f t="shared" si="126"/>
        <v>0</v>
      </c>
      <c r="I542" s="11">
        <v>0</v>
      </c>
      <c r="J542" s="10">
        <f t="shared" si="127"/>
        <v>0</v>
      </c>
      <c r="K542" s="11">
        <f t="shared" si="128"/>
        <v>51.3</v>
      </c>
      <c r="L542" s="10">
        <f t="shared" si="128"/>
        <v>51.3</v>
      </c>
      <c r="M542" s="5" t="s">
        <v>51</v>
      </c>
      <c r="N542" s="1" t="s">
        <v>489</v>
      </c>
      <c r="O542" s="1" t="s">
        <v>657</v>
      </c>
      <c r="P542" s="1" t="s">
        <v>60</v>
      </c>
      <c r="Q542" s="1" t="s">
        <v>60</v>
      </c>
      <c r="R542" s="1" t="s">
        <v>60</v>
      </c>
      <c r="S542">
        <v>0</v>
      </c>
      <c r="T542">
        <v>0</v>
      </c>
      <c r="U542">
        <v>0.15</v>
      </c>
      <c r="AV542" s="1" t="s">
        <v>51</v>
      </c>
      <c r="AW542" s="1" t="s">
        <v>1341</v>
      </c>
      <c r="AX542" s="1" t="s">
        <v>51</v>
      </c>
      <c r="AY542" s="1" t="s">
        <v>51</v>
      </c>
    </row>
    <row r="543" spans="1:51" ht="30" customHeight="1" x14ac:dyDescent="0.3">
      <c r="A543" s="5" t="s">
        <v>746</v>
      </c>
      <c r="B543" s="5" t="s">
        <v>786</v>
      </c>
      <c r="C543" s="5" t="s">
        <v>631</v>
      </c>
      <c r="D543" s="6">
        <v>1</v>
      </c>
      <c r="E543" s="11">
        <f>TRUNC(SUMIF(W540:W546, RIGHTB(O543, 1), F540:F546)*U543, 2)</f>
        <v>6.84</v>
      </c>
      <c r="F543" s="10">
        <f t="shared" si="125"/>
        <v>6.84</v>
      </c>
      <c r="G543" s="11">
        <v>0</v>
      </c>
      <c r="H543" s="10">
        <f t="shared" si="126"/>
        <v>0</v>
      </c>
      <c r="I543" s="11">
        <v>0</v>
      </c>
      <c r="J543" s="10">
        <f t="shared" si="127"/>
        <v>0</v>
      </c>
      <c r="K543" s="11">
        <f t="shared" si="128"/>
        <v>6.84</v>
      </c>
      <c r="L543" s="10">
        <f t="shared" si="128"/>
        <v>6.84</v>
      </c>
      <c r="M543" s="5" t="s">
        <v>51</v>
      </c>
      <c r="N543" s="1" t="s">
        <v>489</v>
      </c>
      <c r="O543" s="1" t="s">
        <v>748</v>
      </c>
      <c r="P543" s="1" t="s">
        <v>60</v>
      </c>
      <c r="Q543" s="1" t="s">
        <v>60</v>
      </c>
      <c r="R543" s="1" t="s">
        <v>60</v>
      </c>
      <c r="S543">
        <v>0</v>
      </c>
      <c r="T543">
        <v>0</v>
      </c>
      <c r="U543">
        <v>0.02</v>
      </c>
      <c r="AV543" s="1" t="s">
        <v>51</v>
      </c>
      <c r="AW543" s="1" t="s">
        <v>1342</v>
      </c>
      <c r="AX543" s="1" t="s">
        <v>51</v>
      </c>
      <c r="AY543" s="1" t="s">
        <v>51</v>
      </c>
    </row>
    <row r="544" spans="1:51" ht="30" customHeight="1" x14ac:dyDescent="0.3">
      <c r="A544" s="5" t="s">
        <v>750</v>
      </c>
      <c r="B544" s="5" t="s">
        <v>751</v>
      </c>
      <c r="C544" s="5" t="s">
        <v>752</v>
      </c>
      <c r="D544" s="6">
        <f>공량산출근거서!K267</f>
        <v>1.4E-2</v>
      </c>
      <c r="E544" s="11">
        <f>단가대비표!O162</f>
        <v>0</v>
      </c>
      <c r="F544" s="10">
        <f t="shared" si="125"/>
        <v>0</v>
      </c>
      <c r="G544" s="11">
        <f>단가대비표!P162</f>
        <v>172068</v>
      </c>
      <c r="H544" s="10">
        <f t="shared" si="126"/>
        <v>2408.9499999999998</v>
      </c>
      <c r="I544" s="11">
        <f>단가대비표!V162</f>
        <v>0</v>
      </c>
      <c r="J544" s="10">
        <f t="shared" si="127"/>
        <v>0</v>
      </c>
      <c r="K544" s="11">
        <f t="shared" si="128"/>
        <v>172068</v>
      </c>
      <c r="L544" s="10">
        <f t="shared" si="128"/>
        <v>2408.9499999999998</v>
      </c>
      <c r="M544" s="5" t="s">
        <v>51</v>
      </c>
      <c r="N544" s="1" t="s">
        <v>489</v>
      </c>
      <c r="O544" s="1" t="s">
        <v>753</v>
      </c>
      <c r="P544" s="1" t="s">
        <v>60</v>
      </c>
      <c r="Q544" s="1" t="s">
        <v>60</v>
      </c>
      <c r="R544" s="1" t="s">
        <v>61</v>
      </c>
      <c r="X544">
        <v>3</v>
      </c>
      <c r="AV544" s="1" t="s">
        <v>51</v>
      </c>
      <c r="AW544" s="1" t="s">
        <v>1343</v>
      </c>
      <c r="AX544" s="1" t="s">
        <v>51</v>
      </c>
      <c r="AY544" s="1" t="s">
        <v>51</v>
      </c>
    </row>
    <row r="545" spans="1:51" ht="30" customHeight="1" x14ac:dyDescent="0.3">
      <c r="A545" s="5" t="s">
        <v>755</v>
      </c>
      <c r="B545" s="5" t="s">
        <v>751</v>
      </c>
      <c r="C545" s="5" t="s">
        <v>752</v>
      </c>
      <c r="D545" s="6">
        <f>공량산출근거서!K268</f>
        <v>6.0000000000000001E-3</v>
      </c>
      <c r="E545" s="11">
        <f>단가대비표!O172</f>
        <v>0</v>
      </c>
      <c r="F545" s="10">
        <f t="shared" si="125"/>
        <v>0</v>
      </c>
      <c r="G545" s="11">
        <f>단가대비표!P172</f>
        <v>414968</v>
      </c>
      <c r="H545" s="10">
        <f t="shared" si="126"/>
        <v>2489.8000000000002</v>
      </c>
      <c r="I545" s="11">
        <f>단가대비표!V172</f>
        <v>0</v>
      </c>
      <c r="J545" s="10">
        <f t="shared" si="127"/>
        <v>0</v>
      </c>
      <c r="K545" s="11">
        <f t="shared" si="128"/>
        <v>414968</v>
      </c>
      <c r="L545" s="10">
        <f t="shared" si="128"/>
        <v>2489.8000000000002</v>
      </c>
      <c r="M545" s="5" t="s">
        <v>51</v>
      </c>
      <c r="N545" s="1" t="s">
        <v>489</v>
      </c>
      <c r="O545" s="1" t="s">
        <v>756</v>
      </c>
      <c r="P545" s="1" t="s">
        <v>60</v>
      </c>
      <c r="Q545" s="1" t="s">
        <v>60</v>
      </c>
      <c r="R545" s="1" t="s">
        <v>61</v>
      </c>
      <c r="X545">
        <v>3</v>
      </c>
      <c r="AV545" s="1" t="s">
        <v>51</v>
      </c>
      <c r="AW545" s="1" t="s">
        <v>1344</v>
      </c>
      <c r="AX545" s="1" t="s">
        <v>51</v>
      </c>
      <c r="AY545" s="1" t="s">
        <v>51</v>
      </c>
    </row>
    <row r="546" spans="1:51" ht="30" customHeight="1" x14ac:dyDescent="0.3">
      <c r="A546" s="5" t="s">
        <v>758</v>
      </c>
      <c r="B546" s="5" t="s">
        <v>759</v>
      </c>
      <c r="C546" s="5" t="s">
        <v>631</v>
      </c>
      <c r="D546" s="6">
        <v>1</v>
      </c>
      <c r="E546" s="11">
        <f>TRUNC(SUMIF(X540:X546, RIGHTB(O546, 1), H540:H546)*U546, 2)</f>
        <v>146.96</v>
      </c>
      <c r="F546" s="10">
        <f t="shared" si="125"/>
        <v>146.96</v>
      </c>
      <c r="G546" s="11">
        <v>0</v>
      </c>
      <c r="H546" s="10">
        <f t="shared" si="126"/>
        <v>0</v>
      </c>
      <c r="I546" s="11">
        <v>0</v>
      </c>
      <c r="J546" s="10">
        <f t="shared" si="127"/>
        <v>0</v>
      </c>
      <c r="K546" s="11">
        <f t="shared" si="128"/>
        <v>146.96</v>
      </c>
      <c r="L546" s="10">
        <f t="shared" si="128"/>
        <v>146.96</v>
      </c>
      <c r="M546" s="5" t="s">
        <v>51</v>
      </c>
      <c r="N546" s="1" t="s">
        <v>489</v>
      </c>
      <c r="O546" s="1" t="s">
        <v>760</v>
      </c>
      <c r="P546" s="1" t="s">
        <v>60</v>
      </c>
      <c r="Q546" s="1" t="s">
        <v>60</v>
      </c>
      <c r="R546" s="1" t="s">
        <v>60</v>
      </c>
      <c r="S546">
        <v>1</v>
      </c>
      <c r="T546">
        <v>0</v>
      </c>
      <c r="U546">
        <v>0.03</v>
      </c>
      <c r="AV546" s="1" t="s">
        <v>51</v>
      </c>
      <c r="AW546" s="1" t="s">
        <v>1345</v>
      </c>
      <c r="AX546" s="1" t="s">
        <v>51</v>
      </c>
      <c r="AY546" s="1" t="s">
        <v>51</v>
      </c>
    </row>
    <row r="547" spans="1:51" ht="30" customHeight="1" x14ac:dyDescent="0.3">
      <c r="A547" s="5" t="s">
        <v>762</v>
      </c>
      <c r="B547" s="5" t="s">
        <v>51</v>
      </c>
      <c r="C547" s="5" t="s">
        <v>51</v>
      </c>
      <c r="D547" s="6"/>
      <c r="E547" s="11"/>
      <c r="F547" s="10">
        <f>TRUNC(SUMIF(N540:N546, N539, F540:F546),0)</f>
        <v>557</v>
      </c>
      <c r="G547" s="11"/>
      <c r="H547" s="10">
        <f>TRUNC(SUMIF(N540:N546, N539, H540:H546),0)</f>
        <v>4898</v>
      </c>
      <c r="I547" s="11"/>
      <c r="J547" s="10">
        <f>TRUNC(SUMIF(N540:N546, N539, J540:J546),0)</f>
        <v>0</v>
      </c>
      <c r="K547" s="11"/>
      <c r="L547" s="10">
        <f>F547+H547+J547</f>
        <v>5455</v>
      </c>
      <c r="M547" s="5" t="s">
        <v>51</v>
      </c>
      <c r="N547" s="1" t="s">
        <v>208</v>
      </c>
      <c r="O547" s="1" t="s">
        <v>208</v>
      </c>
      <c r="P547" s="1" t="s">
        <v>51</v>
      </c>
      <c r="Q547" s="1" t="s">
        <v>51</v>
      </c>
      <c r="R547" s="1" t="s">
        <v>51</v>
      </c>
      <c r="AV547" s="1" t="s">
        <v>51</v>
      </c>
      <c r="AW547" s="1" t="s">
        <v>51</v>
      </c>
      <c r="AX547" s="1" t="s">
        <v>51</v>
      </c>
      <c r="AY547" s="1" t="s">
        <v>51</v>
      </c>
    </row>
    <row r="548" spans="1:51" ht="30" customHeight="1" x14ac:dyDescent="0.3">
      <c r="A548" s="6"/>
      <c r="B548" s="6"/>
      <c r="C548" s="6"/>
      <c r="D548" s="6"/>
      <c r="E548" s="11"/>
      <c r="F548" s="10"/>
      <c r="G548" s="11"/>
      <c r="H548" s="10"/>
      <c r="I548" s="11"/>
      <c r="J548" s="10"/>
      <c r="K548" s="11"/>
      <c r="L548" s="10"/>
      <c r="M548" s="6"/>
    </row>
    <row r="549" spans="1:51" ht="30" customHeight="1" x14ac:dyDescent="0.3">
      <c r="A549" s="37" t="s">
        <v>1346</v>
      </c>
      <c r="B549" s="37"/>
      <c r="C549" s="37"/>
      <c r="D549" s="37"/>
      <c r="E549" s="38"/>
      <c r="F549" s="39"/>
      <c r="G549" s="38"/>
      <c r="H549" s="39"/>
      <c r="I549" s="38"/>
      <c r="J549" s="39"/>
      <c r="K549" s="38"/>
      <c r="L549" s="39"/>
      <c r="M549" s="37"/>
      <c r="N549" s="1" t="s">
        <v>493</v>
      </c>
    </row>
    <row r="550" spans="1:51" ht="30" customHeight="1" x14ac:dyDescent="0.3">
      <c r="A550" s="5" t="s">
        <v>490</v>
      </c>
      <c r="B550" s="5" t="s">
        <v>51</v>
      </c>
      <c r="C550" s="5" t="s">
        <v>1260</v>
      </c>
      <c r="D550" s="6">
        <v>1</v>
      </c>
      <c r="E550" s="11">
        <f>단가대비표!O33</f>
        <v>0</v>
      </c>
      <c r="F550" s="10">
        <f>TRUNC(E550*D550,2)</f>
        <v>0</v>
      </c>
      <c r="G550" s="11">
        <f>단가대비표!P33</f>
        <v>0</v>
      </c>
      <c r="H550" s="10">
        <f>TRUNC(G550*D550,2)</f>
        <v>0</v>
      </c>
      <c r="I550" s="11">
        <f>단가대비표!V33</f>
        <v>0</v>
      </c>
      <c r="J550" s="10">
        <f>TRUNC(I550*D550,2)</f>
        <v>0</v>
      </c>
      <c r="K550" s="11">
        <f t="shared" ref="K550:L552" si="129">TRUNC(E550+G550+I550,2)</f>
        <v>0</v>
      </c>
      <c r="L550" s="10">
        <f t="shared" si="129"/>
        <v>0</v>
      </c>
      <c r="M550" s="5" t="s">
        <v>51</v>
      </c>
      <c r="N550" s="1" t="s">
        <v>493</v>
      </c>
      <c r="O550" s="1" t="s">
        <v>1347</v>
      </c>
      <c r="P550" s="1" t="s">
        <v>60</v>
      </c>
      <c r="Q550" s="1" t="s">
        <v>60</v>
      </c>
      <c r="R550" s="1" t="s">
        <v>61</v>
      </c>
      <c r="AV550" s="1" t="s">
        <v>51</v>
      </c>
      <c r="AW550" s="1" t="s">
        <v>1348</v>
      </c>
      <c r="AX550" s="1" t="s">
        <v>51</v>
      </c>
      <c r="AY550" s="1" t="s">
        <v>51</v>
      </c>
    </row>
    <row r="551" spans="1:51" ht="30" customHeight="1" x14ac:dyDescent="0.3">
      <c r="A551" s="5" t="s">
        <v>769</v>
      </c>
      <c r="B551" s="5" t="s">
        <v>751</v>
      </c>
      <c r="C551" s="5" t="s">
        <v>752</v>
      </c>
      <c r="D551" s="6">
        <f>공량산출근거서!K271</f>
        <v>9.1499999999999998E-2</v>
      </c>
      <c r="E551" s="11">
        <f>단가대비표!O169</f>
        <v>0</v>
      </c>
      <c r="F551" s="10">
        <f>TRUNC(E551*D551,2)</f>
        <v>0</v>
      </c>
      <c r="G551" s="11">
        <f>단가대비표!P169</f>
        <v>273676</v>
      </c>
      <c r="H551" s="10">
        <f>TRUNC(G551*D551,2)</f>
        <v>25041.35</v>
      </c>
      <c r="I551" s="11">
        <f>단가대비표!V169</f>
        <v>0</v>
      </c>
      <c r="J551" s="10">
        <f>TRUNC(I551*D551,2)</f>
        <v>0</v>
      </c>
      <c r="K551" s="11">
        <f t="shared" si="129"/>
        <v>273676</v>
      </c>
      <c r="L551" s="10">
        <f t="shared" si="129"/>
        <v>25041.35</v>
      </c>
      <c r="M551" s="5" t="s">
        <v>51</v>
      </c>
      <c r="N551" s="1" t="s">
        <v>493</v>
      </c>
      <c r="O551" s="1" t="s">
        <v>770</v>
      </c>
      <c r="P551" s="1" t="s">
        <v>60</v>
      </c>
      <c r="Q551" s="1" t="s">
        <v>60</v>
      </c>
      <c r="R551" s="1" t="s">
        <v>61</v>
      </c>
      <c r="V551">
        <v>1</v>
      </c>
      <c r="AV551" s="1" t="s">
        <v>51</v>
      </c>
      <c r="AW551" s="1" t="s">
        <v>1349</v>
      </c>
      <c r="AX551" s="1" t="s">
        <v>51</v>
      </c>
      <c r="AY551" s="1" t="s">
        <v>51</v>
      </c>
    </row>
    <row r="552" spans="1:51" ht="30" customHeight="1" x14ac:dyDescent="0.3">
      <c r="A552" s="5" t="s">
        <v>758</v>
      </c>
      <c r="B552" s="5" t="s">
        <v>759</v>
      </c>
      <c r="C552" s="5" t="s">
        <v>631</v>
      </c>
      <c r="D552" s="6">
        <v>1</v>
      </c>
      <c r="E552" s="11">
        <f>TRUNC(SUMIF(V550:V552, RIGHTB(O552, 1), H550:H552)*U552, 2)</f>
        <v>751.24</v>
      </c>
      <c r="F552" s="10">
        <f>TRUNC(E552*D552,2)</f>
        <v>751.24</v>
      </c>
      <c r="G552" s="11">
        <v>0</v>
      </c>
      <c r="H552" s="10">
        <f>TRUNC(G552*D552,2)</f>
        <v>0</v>
      </c>
      <c r="I552" s="11">
        <v>0</v>
      </c>
      <c r="J552" s="10">
        <f>TRUNC(I552*D552,2)</f>
        <v>0</v>
      </c>
      <c r="K552" s="11">
        <f t="shared" si="129"/>
        <v>751.24</v>
      </c>
      <c r="L552" s="10">
        <f t="shared" si="129"/>
        <v>751.24</v>
      </c>
      <c r="M552" s="5" t="s">
        <v>51</v>
      </c>
      <c r="N552" s="1" t="s">
        <v>493</v>
      </c>
      <c r="O552" s="1" t="s">
        <v>657</v>
      </c>
      <c r="P552" s="1" t="s">
        <v>60</v>
      </c>
      <c r="Q552" s="1" t="s">
        <v>60</v>
      </c>
      <c r="R552" s="1" t="s">
        <v>60</v>
      </c>
      <c r="S552">
        <v>1</v>
      </c>
      <c r="T552">
        <v>0</v>
      </c>
      <c r="U552">
        <v>0.03</v>
      </c>
      <c r="AV552" s="1" t="s">
        <v>51</v>
      </c>
      <c r="AW552" s="1" t="s">
        <v>1350</v>
      </c>
      <c r="AX552" s="1" t="s">
        <v>51</v>
      </c>
      <c r="AY552" s="1" t="s">
        <v>51</v>
      </c>
    </row>
    <row r="553" spans="1:51" ht="30" customHeight="1" x14ac:dyDescent="0.3">
      <c r="A553" s="5" t="s">
        <v>762</v>
      </c>
      <c r="B553" s="5" t="s">
        <v>51</v>
      </c>
      <c r="C553" s="5" t="s">
        <v>51</v>
      </c>
      <c r="D553" s="6"/>
      <c r="E553" s="11"/>
      <c r="F553" s="10">
        <f>TRUNC(SUMIF(N550:N552, N549, F550:F552),0)</f>
        <v>751</v>
      </c>
      <c r="G553" s="11"/>
      <c r="H553" s="10">
        <f>TRUNC(SUMIF(N550:N552, N549, H550:H552),0)</f>
        <v>25041</v>
      </c>
      <c r="I553" s="11"/>
      <c r="J553" s="10">
        <f>TRUNC(SUMIF(N550:N552, N549, J550:J552),0)</f>
        <v>0</v>
      </c>
      <c r="K553" s="11"/>
      <c r="L553" s="10">
        <f>F553+H553+J553</f>
        <v>25792</v>
      </c>
      <c r="M553" s="5" t="s">
        <v>51</v>
      </c>
      <c r="N553" s="1" t="s">
        <v>208</v>
      </c>
      <c r="O553" s="1" t="s">
        <v>208</v>
      </c>
      <c r="P553" s="1" t="s">
        <v>51</v>
      </c>
      <c r="Q553" s="1" t="s">
        <v>51</v>
      </c>
      <c r="R553" s="1" t="s">
        <v>51</v>
      </c>
      <c r="AV553" s="1" t="s">
        <v>51</v>
      </c>
      <c r="AW553" s="1" t="s">
        <v>51</v>
      </c>
      <c r="AX553" s="1" t="s">
        <v>51</v>
      </c>
      <c r="AY553" s="1" t="s">
        <v>51</v>
      </c>
    </row>
    <row r="554" spans="1:51" ht="30" customHeight="1" x14ac:dyDescent="0.3">
      <c r="A554" s="6"/>
      <c r="B554" s="6"/>
      <c r="C554" s="6"/>
      <c r="D554" s="6"/>
      <c r="E554" s="11"/>
      <c r="F554" s="10"/>
      <c r="G554" s="11"/>
      <c r="H554" s="10"/>
      <c r="I554" s="11"/>
      <c r="J554" s="10"/>
      <c r="K554" s="11"/>
      <c r="L554" s="10"/>
      <c r="M554" s="6"/>
    </row>
    <row r="555" spans="1:51" ht="30" customHeight="1" x14ac:dyDescent="0.3">
      <c r="A555" s="37" t="s">
        <v>1351</v>
      </c>
      <c r="B555" s="37"/>
      <c r="C555" s="37"/>
      <c r="D555" s="37"/>
      <c r="E555" s="38"/>
      <c r="F555" s="39"/>
      <c r="G555" s="38"/>
      <c r="H555" s="39"/>
      <c r="I555" s="38"/>
      <c r="J555" s="39"/>
      <c r="K555" s="38"/>
      <c r="L555" s="39"/>
      <c r="M555" s="37"/>
      <c r="N555" s="1" t="s">
        <v>498</v>
      </c>
    </row>
    <row r="556" spans="1:51" ht="30" customHeight="1" x14ac:dyDescent="0.3">
      <c r="A556" s="5" t="s">
        <v>1352</v>
      </c>
      <c r="B556" s="5" t="s">
        <v>495</v>
      </c>
      <c r="C556" s="5" t="s">
        <v>1260</v>
      </c>
      <c r="D556" s="6">
        <v>1</v>
      </c>
      <c r="E556" s="11">
        <f>단가대비표!O34</f>
        <v>0</v>
      </c>
      <c r="F556" s="10">
        <f>TRUNC(E556*D556,2)</f>
        <v>0</v>
      </c>
      <c r="G556" s="11">
        <f>단가대비표!P34</f>
        <v>0</v>
      </c>
      <c r="H556" s="10">
        <f>TRUNC(G556*D556,2)</f>
        <v>0</v>
      </c>
      <c r="I556" s="11">
        <f>단가대비표!V34</f>
        <v>0</v>
      </c>
      <c r="J556" s="10">
        <f>TRUNC(I556*D556,2)</f>
        <v>0</v>
      </c>
      <c r="K556" s="11">
        <f t="shared" ref="K556:L558" si="130">TRUNC(E556+G556+I556,2)</f>
        <v>0</v>
      </c>
      <c r="L556" s="10">
        <f t="shared" si="130"/>
        <v>0</v>
      </c>
      <c r="M556" s="5" t="s">
        <v>51</v>
      </c>
      <c r="N556" s="1" t="s">
        <v>498</v>
      </c>
      <c r="O556" s="1" t="s">
        <v>1353</v>
      </c>
      <c r="P556" s="1" t="s">
        <v>60</v>
      </c>
      <c r="Q556" s="1" t="s">
        <v>60</v>
      </c>
      <c r="R556" s="1" t="s">
        <v>61</v>
      </c>
      <c r="AV556" s="1" t="s">
        <v>51</v>
      </c>
      <c r="AW556" s="1" t="s">
        <v>1354</v>
      </c>
      <c r="AX556" s="1" t="s">
        <v>51</v>
      </c>
      <c r="AY556" s="1" t="s">
        <v>51</v>
      </c>
    </row>
    <row r="557" spans="1:51" ht="30" customHeight="1" x14ac:dyDescent="0.3">
      <c r="A557" s="5" t="s">
        <v>769</v>
      </c>
      <c r="B557" s="5" t="s">
        <v>751</v>
      </c>
      <c r="C557" s="5" t="s">
        <v>752</v>
      </c>
      <c r="D557" s="6">
        <f>공량산출근거서!K274</f>
        <v>1.68</v>
      </c>
      <c r="E557" s="11">
        <f>단가대비표!O169</f>
        <v>0</v>
      </c>
      <c r="F557" s="10">
        <f>TRUNC(E557*D557,2)</f>
        <v>0</v>
      </c>
      <c r="G557" s="11">
        <f>단가대비표!P169</f>
        <v>273676</v>
      </c>
      <c r="H557" s="10">
        <f>TRUNC(G557*D557,2)</f>
        <v>459775.68</v>
      </c>
      <c r="I557" s="11">
        <f>단가대비표!V169</f>
        <v>0</v>
      </c>
      <c r="J557" s="10">
        <f>TRUNC(I557*D557,2)</f>
        <v>0</v>
      </c>
      <c r="K557" s="11">
        <f t="shared" si="130"/>
        <v>273676</v>
      </c>
      <c r="L557" s="10">
        <f t="shared" si="130"/>
        <v>459775.68</v>
      </c>
      <c r="M557" s="5" t="s">
        <v>51</v>
      </c>
      <c r="N557" s="1" t="s">
        <v>498</v>
      </c>
      <c r="O557" s="1" t="s">
        <v>770</v>
      </c>
      <c r="P557" s="1" t="s">
        <v>60</v>
      </c>
      <c r="Q557" s="1" t="s">
        <v>60</v>
      </c>
      <c r="R557" s="1" t="s">
        <v>61</v>
      </c>
      <c r="V557">
        <v>1</v>
      </c>
      <c r="AV557" s="1" t="s">
        <v>51</v>
      </c>
      <c r="AW557" s="1" t="s">
        <v>1355</v>
      </c>
      <c r="AX557" s="1" t="s">
        <v>51</v>
      </c>
      <c r="AY557" s="1" t="s">
        <v>51</v>
      </c>
    </row>
    <row r="558" spans="1:51" ht="30" customHeight="1" x14ac:dyDescent="0.3">
      <c r="A558" s="5" t="s">
        <v>758</v>
      </c>
      <c r="B558" s="5" t="s">
        <v>759</v>
      </c>
      <c r="C558" s="5" t="s">
        <v>631</v>
      </c>
      <c r="D558" s="6">
        <v>1</v>
      </c>
      <c r="E558" s="11">
        <f>TRUNC(SUMIF(V556:V558, RIGHTB(O558, 1), H556:H558)*U558, 2)</f>
        <v>13793.27</v>
      </c>
      <c r="F558" s="10">
        <f>TRUNC(E558*D558,2)</f>
        <v>13793.27</v>
      </c>
      <c r="G558" s="11">
        <v>0</v>
      </c>
      <c r="H558" s="10">
        <f>TRUNC(G558*D558,2)</f>
        <v>0</v>
      </c>
      <c r="I558" s="11">
        <v>0</v>
      </c>
      <c r="J558" s="10">
        <f>TRUNC(I558*D558,2)</f>
        <v>0</v>
      </c>
      <c r="K558" s="11">
        <f t="shared" si="130"/>
        <v>13793.27</v>
      </c>
      <c r="L558" s="10">
        <f t="shared" si="130"/>
        <v>13793.27</v>
      </c>
      <c r="M558" s="5" t="s">
        <v>51</v>
      </c>
      <c r="N558" s="1" t="s">
        <v>498</v>
      </c>
      <c r="O558" s="1" t="s">
        <v>657</v>
      </c>
      <c r="P558" s="1" t="s">
        <v>60</v>
      </c>
      <c r="Q558" s="1" t="s">
        <v>60</v>
      </c>
      <c r="R558" s="1" t="s">
        <v>60</v>
      </c>
      <c r="S558">
        <v>1</v>
      </c>
      <c r="T558">
        <v>0</v>
      </c>
      <c r="U558">
        <v>0.03</v>
      </c>
      <c r="AV558" s="1" t="s">
        <v>51</v>
      </c>
      <c r="AW558" s="1" t="s">
        <v>1356</v>
      </c>
      <c r="AX558" s="1" t="s">
        <v>51</v>
      </c>
      <c r="AY558" s="1" t="s">
        <v>51</v>
      </c>
    </row>
    <row r="559" spans="1:51" ht="30" customHeight="1" x14ac:dyDescent="0.3">
      <c r="A559" s="5" t="s">
        <v>762</v>
      </c>
      <c r="B559" s="5" t="s">
        <v>51</v>
      </c>
      <c r="C559" s="5" t="s">
        <v>51</v>
      </c>
      <c r="D559" s="6"/>
      <c r="E559" s="11"/>
      <c r="F559" s="10">
        <f>TRUNC(SUMIF(N556:N558, N555, F556:F558),0)</f>
        <v>13793</v>
      </c>
      <c r="G559" s="11"/>
      <c r="H559" s="10">
        <f>TRUNC(SUMIF(N556:N558, N555, H556:H558),0)</f>
        <v>459775</v>
      </c>
      <c r="I559" s="11"/>
      <c r="J559" s="10">
        <f>TRUNC(SUMIF(N556:N558, N555, J556:J558),0)</f>
        <v>0</v>
      </c>
      <c r="K559" s="11"/>
      <c r="L559" s="10">
        <f>F559+H559+J559</f>
        <v>473568</v>
      </c>
      <c r="M559" s="5" t="s">
        <v>51</v>
      </c>
      <c r="N559" s="1" t="s">
        <v>208</v>
      </c>
      <c r="O559" s="1" t="s">
        <v>208</v>
      </c>
      <c r="P559" s="1" t="s">
        <v>51</v>
      </c>
      <c r="Q559" s="1" t="s">
        <v>51</v>
      </c>
      <c r="R559" s="1" t="s">
        <v>51</v>
      </c>
      <c r="AV559" s="1" t="s">
        <v>51</v>
      </c>
      <c r="AW559" s="1" t="s">
        <v>51</v>
      </c>
      <c r="AX559" s="1" t="s">
        <v>51</v>
      </c>
      <c r="AY559" s="1" t="s">
        <v>51</v>
      </c>
    </row>
    <row r="560" spans="1:51" ht="30" customHeight="1" x14ac:dyDescent="0.3">
      <c r="A560" s="6"/>
      <c r="B560" s="6"/>
      <c r="C560" s="6"/>
      <c r="D560" s="6"/>
      <c r="E560" s="11"/>
      <c r="F560" s="10"/>
      <c r="G560" s="11"/>
      <c r="H560" s="10"/>
      <c r="I560" s="11"/>
      <c r="J560" s="10"/>
      <c r="K560" s="11"/>
      <c r="L560" s="10"/>
      <c r="M560" s="6"/>
    </row>
    <row r="561" spans="1:51" ht="30" customHeight="1" x14ac:dyDescent="0.3">
      <c r="A561" s="37" t="s">
        <v>1357</v>
      </c>
      <c r="B561" s="37"/>
      <c r="C561" s="37"/>
      <c r="D561" s="37"/>
      <c r="E561" s="38"/>
      <c r="F561" s="39"/>
      <c r="G561" s="38"/>
      <c r="H561" s="39"/>
      <c r="I561" s="38"/>
      <c r="J561" s="39"/>
      <c r="K561" s="38"/>
      <c r="L561" s="39"/>
      <c r="M561" s="37"/>
      <c r="N561" s="1" t="s">
        <v>501</v>
      </c>
    </row>
    <row r="562" spans="1:51" ht="30" customHeight="1" x14ac:dyDescent="0.3">
      <c r="A562" s="5" t="s">
        <v>740</v>
      </c>
      <c r="B562" s="5" t="s">
        <v>499</v>
      </c>
      <c r="C562" s="5" t="s">
        <v>65</v>
      </c>
      <c r="D562" s="6">
        <v>1</v>
      </c>
      <c r="E562" s="11">
        <f>단가대비표!O131</f>
        <v>522</v>
      </c>
      <c r="F562" s="10">
        <f t="shared" ref="F562:F568" si="131">TRUNC(E562*D562,2)</f>
        <v>522</v>
      </c>
      <c r="G562" s="11">
        <f>단가대비표!P131</f>
        <v>0</v>
      </c>
      <c r="H562" s="10">
        <f t="shared" ref="H562:H568" si="132">TRUNC(G562*D562,2)</f>
        <v>0</v>
      </c>
      <c r="I562" s="11">
        <f>단가대비표!V131</f>
        <v>0</v>
      </c>
      <c r="J562" s="10">
        <f t="shared" ref="J562:J568" si="133">TRUNC(I562*D562,2)</f>
        <v>0</v>
      </c>
      <c r="K562" s="11">
        <f t="shared" ref="K562:L568" si="134">TRUNC(E562+G562+I562,2)</f>
        <v>522</v>
      </c>
      <c r="L562" s="10">
        <f t="shared" si="134"/>
        <v>522</v>
      </c>
      <c r="M562" s="5" t="s">
        <v>51</v>
      </c>
      <c r="N562" s="1" t="s">
        <v>501</v>
      </c>
      <c r="O562" s="1" t="s">
        <v>1358</v>
      </c>
      <c r="P562" s="1" t="s">
        <v>60</v>
      </c>
      <c r="Q562" s="1" t="s">
        <v>60</v>
      </c>
      <c r="R562" s="1" t="s">
        <v>61</v>
      </c>
      <c r="V562">
        <v>1</v>
      </c>
      <c r="W562">
        <v>2</v>
      </c>
      <c r="AV562" s="1" t="s">
        <v>51</v>
      </c>
      <c r="AW562" s="1" t="s">
        <v>1359</v>
      </c>
      <c r="AX562" s="1" t="s">
        <v>51</v>
      </c>
      <c r="AY562" s="1" t="s">
        <v>51</v>
      </c>
    </row>
    <row r="563" spans="1:51" ht="30" customHeight="1" x14ac:dyDescent="0.3">
      <c r="A563" s="5" t="s">
        <v>740</v>
      </c>
      <c r="B563" s="5" t="s">
        <v>499</v>
      </c>
      <c r="C563" s="5" t="s">
        <v>65</v>
      </c>
      <c r="D563" s="6">
        <v>0.03</v>
      </c>
      <c r="E563" s="11">
        <f>단가대비표!O131</f>
        <v>522</v>
      </c>
      <c r="F563" s="10">
        <f t="shared" si="131"/>
        <v>15.66</v>
      </c>
      <c r="G563" s="11">
        <f>단가대비표!P131</f>
        <v>0</v>
      </c>
      <c r="H563" s="10">
        <f t="shared" si="132"/>
        <v>0</v>
      </c>
      <c r="I563" s="11">
        <f>단가대비표!V131</f>
        <v>0</v>
      </c>
      <c r="J563" s="10">
        <f t="shared" si="133"/>
        <v>0</v>
      </c>
      <c r="K563" s="11">
        <f t="shared" si="134"/>
        <v>522</v>
      </c>
      <c r="L563" s="10">
        <f t="shared" si="134"/>
        <v>15.66</v>
      </c>
      <c r="M563" s="5" t="s">
        <v>51</v>
      </c>
      <c r="N563" s="1" t="s">
        <v>501</v>
      </c>
      <c r="O563" s="1" t="s">
        <v>1358</v>
      </c>
      <c r="P563" s="1" t="s">
        <v>60</v>
      </c>
      <c r="Q563" s="1" t="s">
        <v>60</v>
      </c>
      <c r="R563" s="1" t="s">
        <v>61</v>
      </c>
      <c r="AV563" s="1" t="s">
        <v>51</v>
      </c>
      <c r="AW563" s="1" t="s">
        <v>1359</v>
      </c>
      <c r="AX563" s="1" t="s">
        <v>51</v>
      </c>
      <c r="AY563" s="1" t="s">
        <v>51</v>
      </c>
    </row>
    <row r="564" spans="1:51" ht="30" customHeight="1" x14ac:dyDescent="0.3">
      <c r="A564" s="5" t="s">
        <v>743</v>
      </c>
      <c r="B564" s="5" t="s">
        <v>744</v>
      </c>
      <c r="C564" s="5" t="s">
        <v>631</v>
      </c>
      <c r="D564" s="6">
        <v>1</v>
      </c>
      <c r="E564" s="11">
        <f>TRUNC(SUMIF(V562:V568, RIGHTB(O564, 1), F562:F568)*U564, 2)</f>
        <v>78.3</v>
      </c>
      <c r="F564" s="10">
        <f t="shared" si="131"/>
        <v>78.3</v>
      </c>
      <c r="G564" s="11">
        <v>0</v>
      </c>
      <c r="H564" s="10">
        <f t="shared" si="132"/>
        <v>0</v>
      </c>
      <c r="I564" s="11">
        <v>0</v>
      </c>
      <c r="J564" s="10">
        <f t="shared" si="133"/>
        <v>0</v>
      </c>
      <c r="K564" s="11">
        <f t="shared" si="134"/>
        <v>78.3</v>
      </c>
      <c r="L564" s="10">
        <f t="shared" si="134"/>
        <v>78.3</v>
      </c>
      <c r="M564" s="5" t="s">
        <v>51</v>
      </c>
      <c r="N564" s="1" t="s">
        <v>501</v>
      </c>
      <c r="O564" s="1" t="s">
        <v>657</v>
      </c>
      <c r="P564" s="1" t="s">
        <v>60</v>
      </c>
      <c r="Q564" s="1" t="s">
        <v>60</v>
      </c>
      <c r="R564" s="1" t="s">
        <v>60</v>
      </c>
      <c r="S564">
        <v>0</v>
      </c>
      <c r="T564">
        <v>0</v>
      </c>
      <c r="U564">
        <v>0.15</v>
      </c>
      <c r="AV564" s="1" t="s">
        <v>51</v>
      </c>
      <c r="AW564" s="1" t="s">
        <v>1360</v>
      </c>
      <c r="AX564" s="1" t="s">
        <v>51</v>
      </c>
      <c r="AY564" s="1" t="s">
        <v>51</v>
      </c>
    </row>
    <row r="565" spans="1:51" ht="30" customHeight="1" x14ac:dyDescent="0.3">
      <c r="A565" s="5" t="s">
        <v>746</v>
      </c>
      <c r="B565" s="5" t="s">
        <v>786</v>
      </c>
      <c r="C565" s="5" t="s">
        <v>631</v>
      </c>
      <c r="D565" s="6">
        <v>1</v>
      </c>
      <c r="E565" s="11">
        <f>TRUNC(SUMIF(W562:W568, RIGHTB(O565, 1), F562:F568)*U565, 2)</f>
        <v>10.44</v>
      </c>
      <c r="F565" s="10">
        <f t="shared" si="131"/>
        <v>10.44</v>
      </c>
      <c r="G565" s="11">
        <v>0</v>
      </c>
      <c r="H565" s="10">
        <f t="shared" si="132"/>
        <v>0</v>
      </c>
      <c r="I565" s="11">
        <v>0</v>
      </c>
      <c r="J565" s="10">
        <f t="shared" si="133"/>
        <v>0</v>
      </c>
      <c r="K565" s="11">
        <f t="shared" si="134"/>
        <v>10.44</v>
      </c>
      <c r="L565" s="10">
        <f t="shared" si="134"/>
        <v>10.44</v>
      </c>
      <c r="M565" s="5" t="s">
        <v>51</v>
      </c>
      <c r="N565" s="1" t="s">
        <v>501</v>
      </c>
      <c r="O565" s="1" t="s">
        <v>748</v>
      </c>
      <c r="P565" s="1" t="s">
        <v>60</v>
      </c>
      <c r="Q565" s="1" t="s">
        <v>60</v>
      </c>
      <c r="R565" s="1" t="s">
        <v>60</v>
      </c>
      <c r="S565">
        <v>0</v>
      </c>
      <c r="T565">
        <v>0</v>
      </c>
      <c r="U565">
        <v>0.02</v>
      </c>
      <c r="AV565" s="1" t="s">
        <v>51</v>
      </c>
      <c r="AW565" s="1" t="s">
        <v>1361</v>
      </c>
      <c r="AX565" s="1" t="s">
        <v>51</v>
      </c>
      <c r="AY565" s="1" t="s">
        <v>51</v>
      </c>
    </row>
    <row r="566" spans="1:51" ht="30" customHeight="1" x14ac:dyDescent="0.3">
      <c r="A566" s="5" t="s">
        <v>750</v>
      </c>
      <c r="B566" s="5" t="s">
        <v>751</v>
      </c>
      <c r="C566" s="5" t="s">
        <v>752</v>
      </c>
      <c r="D566" s="6">
        <f>공량산출근거서!K280</f>
        <v>1.7999999999999999E-2</v>
      </c>
      <c r="E566" s="11">
        <f>단가대비표!O162</f>
        <v>0</v>
      </c>
      <c r="F566" s="10">
        <f t="shared" si="131"/>
        <v>0</v>
      </c>
      <c r="G566" s="11">
        <f>단가대비표!P162</f>
        <v>172068</v>
      </c>
      <c r="H566" s="10">
        <f t="shared" si="132"/>
        <v>3097.22</v>
      </c>
      <c r="I566" s="11">
        <f>단가대비표!V162</f>
        <v>0</v>
      </c>
      <c r="J566" s="10">
        <f t="shared" si="133"/>
        <v>0</v>
      </c>
      <c r="K566" s="11">
        <f t="shared" si="134"/>
        <v>172068</v>
      </c>
      <c r="L566" s="10">
        <f t="shared" si="134"/>
        <v>3097.22</v>
      </c>
      <c r="M566" s="5" t="s">
        <v>51</v>
      </c>
      <c r="N566" s="1" t="s">
        <v>501</v>
      </c>
      <c r="O566" s="1" t="s">
        <v>753</v>
      </c>
      <c r="P566" s="1" t="s">
        <v>60</v>
      </c>
      <c r="Q566" s="1" t="s">
        <v>60</v>
      </c>
      <c r="R566" s="1" t="s">
        <v>61</v>
      </c>
      <c r="X566">
        <v>3</v>
      </c>
      <c r="AV566" s="1" t="s">
        <v>51</v>
      </c>
      <c r="AW566" s="1" t="s">
        <v>1362</v>
      </c>
      <c r="AX566" s="1" t="s">
        <v>51</v>
      </c>
      <c r="AY566" s="1" t="s">
        <v>51</v>
      </c>
    </row>
    <row r="567" spans="1:51" ht="30" customHeight="1" x14ac:dyDescent="0.3">
      <c r="A567" s="5" t="s">
        <v>755</v>
      </c>
      <c r="B567" s="5" t="s">
        <v>751</v>
      </c>
      <c r="C567" s="5" t="s">
        <v>752</v>
      </c>
      <c r="D567" s="6">
        <f>공량산출근거서!K281</f>
        <v>7.0000000000000001E-3</v>
      </c>
      <c r="E567" s="11">
        <f>단가대비표!O172</f>
        <v>0</v>
      </c>
      <c r="F567" s="10">
        <f t="shared" si="131"/>
        <v>0</v>
      </c>
      <c r="G567" s="11">
        <f>단가대비표!P172</f>
        <v>414968</v>
      </c>
      <c r="H567" s="10">
        <f t="shared" si="132"/>
        <v>2904.77</v>
      </c>
      <c r="I567" s="11">
        <f>단가대비표!V172</f>
        <v>0</v>
      </c>
      <c r="J567" s="10">
        <f t="shared" si="133"/>
        <v>0</v>
      </c>
      <c r="K567" s="11">
        <f t="shared" si="134"/>
        <v>414968</v>
      </c>
      <c r="L567" s="10">
        <f t="shared" si="134"/>
        <v>2904.77</v>
      </c>
      <c r="M567" s="5" t="s">
        <v>51</v>
      </c>
      <c r="N567" s="1" t="s">
        <v>501</v>
      </c>
      <c r="O567" s="1" t="s">
        <v>756</v>
      </c>
      <c r="P567" s="1" t="s">
        <v>60</v>
      </c>
      <c r="Q567" s="1" t="s">
        <v>60</v>
      </c>
      <c r="R567" s="1" t="s">
        <v>61</v>
      </c>
      <c r="X567">
        <v>3</v>
      </c>
      <c r="AV567" s="1" t="s">
        <v>51</v>
      </c>
      <c r="AW567" s="1" t="s">
        <v>1363</v>
      </c>
      <c r="AX567" s="1" t="s">
        <v>51</v>
      </c>
      <c r="AY567" s="1" t="s">
        <v>51</v>
      </c>
    </row>
    <row r="568" spans="1:51" ht="30" customHeight="1" x14ac:dyDescent="0.3">
      <c r="A568" s="5" t="s">
        <v>758</v>
      </c>
      <c r="B568" s="5" t="s">
        <v>759</v>
      </c>
      <c r="C568" s="5" t="s">
        <v>631</v>
      </c>
      <c r="D568" s="6">
        <v>1</v>
      </c>
      <c r="E568" s="11">
        <f>TRUNC(SUMIF(X562:X568, RIGHTB(O568, 1), H562:H568)*U568, 2)</f>
        <v>180.05</v>
      </c>
      <c r="F568" s="10">
        <f t="shared" si="131"/>
        <v>180.05</v>
      </c>
      <c r="G568" s="11">
        <v>0</v>
      </c>
      <c r="H568" s="10">
        <f t="shared" si="132"/>
        <v>0</v>
      </c>
      <c r="I568" s="11">
        <v>0</v>
      </c>
      <c r="J568" s="10">
        <f t="shared" si="133"/>
        <v>0</v>
      </c>
      <c r="K568" s="11">
        <f t="shared" si="134"/>
        <v>180.05</v>
      </c>
      <c r="L568" s="10">
        <f t="shared" si="134"/>
        <v>180.05</v>
      </c>
      <c r="M568" s="5" t="s">
        <v>51</v>
      </c>
      <c r="N568" s="1" t="s">
        <v>501</v>
      </c>
      <c r="O568" s="1" t="s">
        <v>760</v>
      </c>
      <c r="P568" s="1" t="s">
        <v>60</v>
      </c>
      <c r="Q568" s="1" t="s">
        <v>60</v>
      </c>
      <c r="R568" s="1" t="s">
        <v>60</v>
      </c>
      <c r="S568">
        <v>1</v>
      </c>
      <c r="T568">
        <v>0</v>
      </c>
      <c r="U568">
        <v>0.03</v>
      </c>
      <c r="AV568" s="1" t="s">
        <v>51</v>
      </c>
      <c r="AW568" s="1" t="s">
        <v>1364</v>
      </c>
      <c r="AX568" s="1" t="s">
        <v>51</v>
      </c>
      <c r="AY568" s="1" t="s">
        <v>51</v>
      </c>
    </row>
    <row r="569" spans="1:51" ht="30" customHeight="1" x14ac:dyDescent="0.3">
      <c r="A569" s="5" t="s">
        <v>762</v>
      </c>
      <c r="B569" s="5" t="s">
        <v>51</v>
      </c>
      <c r="C569" s="5" t="s">
        <v>51</v>
      </c>
      <c r="D569" s="6"/>
      <c r="E569" s="11"/>
      <c r="F569" s="10">
        <f>TRUNC(SUMIF(N562:N568, N561, F562:F568),0)</f>
        <v>806</v>
      </c>
      <c r="G569" s="11"/>
      <c r="H569" s="10">
        <f>TRUNC(SUMIF(N562:N568, N561, H562:H568),0)</f>
        <v>6001</v>
      </c>
      <c r="I569" s="11"/>
      <c r="J569" s="10">
        <f>TRUNC(SUMIF(N562:N568, N561, J562:J568),0)</f>
        <v>0</v>
      </c>
      <c r="K569" s="11"/>
      <c r="L569" s="10">
        <f>F569+H569+J569</f>
        <v>6807</v>
      </c>
      <c r="M569" s="5" t="s">
        <v>51</v>
      </c>
      <c r="N569" s="1" t="s">
        <v>208</v>
      </c>
      <c r="O569" s="1" t="s">
        <v>208</v>
      </c>
      <c r="P569" s="1" t="s">
        <v>51</v>
      </c>
      <c r="Q569" s="1" t="s">
        <v>51</v>
      </c>
      <c r="R569" s="1" t="s">
        <v>51</v>
      </c>
      <c r="AV569" s="1" t="s">
        <v>51</v>
      </c>
      <c r="AW569" s="1" t="s">
        <v>51</v>
      </c>
      <c r="AX569" s="1" t="s">
        <v>51</v>
      </c>
      <c r="AY569" s="1" t="s">
        <v>51</v>
      </c>
    </row>
    <row r="570" spans="1:51" ht="30" customHeight="1" x14ac:dyDescent="0.3">
      <c r="A570" s="6"/>
      <c r="B570" s="6"/>
      <c r="C570" s="6"/>
      <c r="D570" s="6"/>
      <c r="E570" s="11"/>
      <c r="F570" s="10"/>
      <c r="G570" s="11"/>
      <c r="H570" s="10"/>
      <c r="I570" s="11"/>
      <c r="J570" s="10"/>
      <c r="K570" s="11"/>
      <c r="L570" s="10"/>
      <c r="M570" s="6"/>
    </row>
    <row r="571" spans="1:51" ht="30" customHeight="1" x14ac:dyDescent="0.3">
      <c r="A571" s="37" t="s">
        <v>1365</v>
      </c>
      <c r="B571" s="37"/>
      <c r="C571" s="37"/>
      <c r="D571" s="37"/>
      <c r="E571" s="38"/>
      <c r="F571" s="39"/>
      <c r="G571" s="38"/>
      <c r="H571" s="39"/>
      <c r="I571" s="38"/>
      <c r="J571" s="39"/>
      <c r="K571" s="38"/>
      <c r="L571" s="39"/>
      <c r="M571" s="37"/>
      <c r="N571" s="1" t="s">
        <v>504</v>
      </c>
    </row>
    <row r="572" spans="1:51" ht="30" customHeight="1" x14ac:dyDescent="0.3">
      <c r="A572" s="5" t="s">
        <v>106</v>
      </c>
      <c r="B572" s="5" t="s">
        <v>1366</v>
      </c>
      <c r="C572" s="5" t="s">
        <v>65</v>
      </c>
      <c r="D572" s="6">
        <v>1</v>
      </c>
      <c r="E572" s="11">
        <f>단가대비표!O38</f>
        <v>2772</v>
      </c>
      <c r="F572" s="10">
        <f>TRUNC(E572*D572,2)</f>
        <v>2772</v>
      </c>
      <c r="G572" s="11">
        <f>단가대비표!P38</f>
        <v>0</v>
      </c>
      <c r="H572" s="10">
        <f>TRUNC(G572*D572,2)</f>
        <v>0</v>
      </c>
      <c r="I572" s="11">
        <f>단가대비표!V38</f>
        <v>0</v>
      </c>
      <c r="J572" s="10">
        <f>TRUNC(I572*D572,2)</f>
        <v>0</v>
      </c>
      <c r="K572" s="11">
        <f t="shared" ref="K572:L576" si="135">TRUNC(E572+G572+I572,2)</f>
        <v>2772</v>
      </c>
      <c r="L572" s="10">
        <f t="shared" si="135"/>
        <v>2772</v>
      </c>
      <c r="M572" s="5" t="s">
        <v>51</v>
      </c>
      <c r="N572" s="1" t="s">
        <v>504</v>
      </c>
      <c r="O572" s="1" t="s">
        <v>1367</v>
      </c>
      <c r="P572" s="1" t="s">
        <v>60</v>
      </c>
      <c r="Q572" s="1" t="s">
        <v>60</v>
      </c>
      <c r="R572" s="1" t="s">
        <v>61</v>
      </c>
      <c r="V572">
        <v>1</v>
      </c>
      <c r="AV572" s="1" t="s">
        <v>51</v>
      </c>
      <c r="AW572" s="1" t="s">
        <v>1368</v>
      </c>
      <c r="AX572" s="1" t="s">
        <v>51</v>
      </c>
      <c r="AY572" s="1" t="s">
        <v>51</v>
      </c>
    </row>
    <row r="573" spans="1:51" ht="30" customHeight="1" x14ac:dyDescent="0.3">
      <c r="A573" s="5" t="s">
        <v>106</v>
      </c>
      <c r="B573" s="5" t="s">
        <v>1366</v>
      </c>
      <c r="C573" s="5" t="s">
        <v>65</v>
      </c>
      <c r="D573" s="6">
        <v>0.05</v>
      </c>
      <c r="E573" s="11">
        <f>단가대비표!O38</f>
        <v>2772</v>
      </c>
      <c r="F573" s="10">
        <f>TRUNC(E573*D573,2)</f>
        <v>138.6</v>
      </c>
      <c r="G573" s="11">
        <f>단가대비표!P38</f>
        <v>0</v>
      </c>
      <c r="H573" s="10">
        <f>TRUNC(G573*D573,2)</f>
        <v>0</v>
      </c>
      <c r="I573" s="11">
        <f>단가대비표!V38</f>
        <v>0</v>
      </c>
      <c r="J573" s="10">
        <f>TRUNC(I573*D573,2)</f>
        <v>0</v>
      </c>
      <c r="K573" s="11">
        <f t="shared" si="135"/>
        <v>2772</v>
      </c>
      <c r="L573" s="10">
        <f t="shared" si="135"/>
        <v>138.6</v>
      </c>
      <c r="M573" s="5" t="s">
        <v>51</v>
      </c>
      <c r="N573" s="1" t="s">
        <v>504</v>
      </c>
      <c r="O573" s="1" t="s">
        <v>1367</v>
      </c>
      <c r="P573" s="1" t="s">
        <v>60</v>
      </c>
      <c r="Q573" s="1" t="s">
        <v>60</v>
      </c>
      <c r="R573" s="1" t="s">
        <v>61</v>
      </c>
      <c r="AV573" s="1" t="s">
        <v>51</v>
      </c>
      <c r="AW573" s="1" t="s">
        <v>1368</v>
      </c>
      <c r="AX573" s="1" t="s">
        <v>51</v>
      </c>
      <c r="AY573" s="1" t="s">
        <v>51</v>
      </c>
    </row>
    <row r="574" spans="1:51" ht="30" customHeight="1" x14ac:dyDescent="0.3">
      <c r="A574" s="5" t="s">
        <v>746</v>
      </c>
      <c r="B574" s="5" t="s">
        <v>786</v>
      </c>
      <c r="C574" s="5" t="s">
        <v>631</v>
      </c>
      <c r="D574" s="6">
        <v>1</v>
      </c>
      <c r="E574" s="11">
        <f>TRUNC(SUMIF(V572:V576, RIGHTB(O574, 1), F572:F576)*U574, 2)</f>
        <v>55.44</v>
      </c>
      <c r="F574" s="10">
        <f>TRUNC(E574*D574,2)</f>
        <v>55.44</v>
      </c>
      <c r="G574" s="11">
        <v>0</v>
      </c>
      <c r="H574" s="10">
        <f>TRUNC(G574*D574,2)</f>
        <v>0</v>
      </c>
      <c r="I574" s="11">
        <v>0</v>
      </c>
      <c r="J574" s="10">
        <f>TRUNC(I574*D574,2)</f>
        <v>0</v>
      </c>
      <c r="K574" s="11">
        <f t="shared" si="135"/>
        <v>55.44</v>
      </c>
      <c r="L574" s="10">
        <f t="shared" si="135"/>
        <v>55.44</v>
      </c>
      <c r="M574" s="5" t="s">
        <v>51</v>
      </c>
      <c r="N574" s="1" t="s">
        <v>504</v>
      </c>
      <c r="O574" s="1" t="s">
        <v>657</v>
      </c>
      <c r="P574" s="1" t="s">
        <v>60</v>
      </c>
      <c r="Q574" s="1" t="s">
        <v>60</v>
      </c>
      <c r="R574" s="1" t="s">
        <v>60</v>
      </c>
      <c r="S574">
        <v>0</v>
      </c>
      <c r="T574">
        <v>0</v>
      </c>
      <c r="U574">
        <v>0.02</v>
      </c>
      <c r="AV574" s="1" t="s">
        <v>51</v>
      </c>
      <c r="AW574" s="1" t="s">
        <v>1369</v>
      </c>
      <c r="AX574" s="1" t="s">
        <v>51</v>
      </c>
      <c r="AY574" s="1" t="s">
        <v>51</v>
      </c>
    </row>
    <row r="575" spans="1:51" ht="30" customHeight="1" x14ac:dyDescent="0.3">
      <c r="A575" s="5" t="s">
        <v>865</v>
      </c>
      <c r="B575" s="5" t="s">
        <v>751</v>
      </c>
      <c r="C575" s="5" t="s">
        <v>752</v>
      </c>
      <c r="D575" s="6">
        <f>공량산출근거서!K285</f>
        <v>2.3E-2</v>
      </c>
      <c r="E575" s="11">
        <f>단가대비표!O171</f>
        <v>0</v>
      </c>
      <c r="F575" s="10">
        <f>TRUNC(E575*D575,2)</f>
        <v>0</v>
      </c>
      <c r="G575" s="11">
        <f>단가대비표!P171</f>
        <v>304156</v>
      </c>
      <c r="H575" s="10">
        <f>TRUNC(G575*D575,2)</f>
        <v>6995.58</v>
      </c>
      <c r="I575" s="11">
        <f>단가대비표!V171</f>
        <v>0</v>
      </c>
      <c r="J575" s="10">
        <f>TRUNC(I575*D575,2)</f>
        <v>0</v>
      </c>
      <c r="K575" s="11">
        <f t="shared" si="135"/>
        <v>304156</v>
      </c>
      <c r="L575" s="10">
        <f t="shared" si="135"/>
        <v>6995.58</v>
      </c>
      <c r="M575" s="5" t="s">
        <v>51</v>
      </c>
      <c r="N575" s="1" t="s">
        <v>504</v>
      </c>
      <c r="O575" s="1" t="s">
        <v>866</v>
      </c>
      <c r="P575" s="1" t="s">
        <v>60</v>
      </c>
      <c r="Q575" s="1" t="s">
        <v>60</v>
      </c>
      <c r="R575" s="1" t="s">
        <v>61</v>
      </c>
      <c r="W575">
        <v>2</v>
      </c>
      <c r="AV575" s="1" t="s">
        <v>51</v>
      </c>
      <c r="AW575" s="1" t="s">
        <v>1370</v>
      </c>
      <c r="AX575" s="1" t="s">
        <v>51</v>
      </c>
      <c r="AY575" s="1" t="s">
        <v>51</v>
      </c>
    </row>
    <row r="576" spans="1:51" ht="30" customHeight="1" x14ac:dyDescent="0.3">
      <c r="A576" s="5" t="s">
        <v>758</v>
      </c>
      <c r="B576" s="5" t="s">
        <v>759</v>
      </c>
      <c r="C576" s="5" t="s">
        <v>631</v>
      </c>
      <c r="D576" s="6">
        <v>1</v>
      </c>
      <c r="E576" s="11">
        <f>TRUNC(SUMIF(W572:W576, RIGHTB(O576, 1), H572:H576)*U576, 2)</f>
        <v>209.86</v>
      </c>
      <c r="F576" s="10">
        <f>TRUNC(E576*D576,2)</f>
        <v>209.86</v>
      </c>
      <c r="G576" s="11">
        <v>0</v>
      </c>
      <c r="H576" s="10">
        <f>TRUNC(G576*D576,2)</f>
        <v>0</v>
      </c>
      <c r="I576" s="11">
        <v>0</v>
      </c>
      <c r="J576" s="10">
        <f>TRUNC(I576*D576,2)</f>
        <v>0</v>
      </c>
      <c r="K576" s="11">
        <f t="shared" si="135"/>
        <v>209.86</v>
      </c>
      <c r="L576" s="10">
        <f t="shared" si="135"/>
        <v>209.86</v>
      </c>
      <c r="M576" s="5" t="s">
        <v>51</v>
      </c>
      <c r="N576" s="1" t="s">
        <v>504</v>
      </c>
      <c r="O576" s="1" t="s">
        <v>748</v>
      </c>
      <c r="P576" s="1" t="s">
        <v>60</v>
      </c>
      <c r="Q576" s="1" t="s">
        <v>60</v>
      </c>
      <c r="R576" s="1" t="s">
        <v>60</v>
      </c>
      <c r="S576">
        <v>1</v>
      </c>
      <c r="T576">
        <v>0</v>
      </c>
      <c r="U576">
        <v>0.03</v>
      </c>
      <c r="AV576" s="1" t="s">
        <v>51</v>
      </c>
      <c r="AW576" s="1" t="s">
        <v>1371</v>
      </c>
      <c r="AX576" s="1" t="s">
        <v>51</v>
      </c>
      <c r="AY576" s="1" t="s">
        <v>51</v>
      </c>
    </row>
    <row r="577" spans="1:51" ht="30" customHeight="1" x14ac:dyDescent="0.3">
      <c r="A577" s="5" t="s">
        <v>762</v>
      </c>
      <c r="B577" s="5" t="s">
        <v>51</v>
      </c>
      <c r="C577" s="5" t="s">
        <v>51</v>
      </c>
      <c r="D577" s="6"/>
      <c r="E577" s="11"/>
      <c r="F577" s="10">
        <f>TRUNC(SUMIF(N572:N576, N571, F572:F576),0)</f>
        <v>3175</v>
      </c>
      <c r="G577" s="11"/>
      <c r="H577" s="10">
        <f>TRUNC(SUMIF(N572:N576, N571, H572:H576),0)</f>
        <v>6995</v>
      </c>
      <c r="I577" s="11"/>
      <c r="J577" s="10">
        <f>TRUNC(SUMIF(N572:N576, N571, J572:J576),0)</f>
        <v>0</v>
      </c>
      <c r="K577" s="11"/>
      <c r="L577" s="10">
        <f>F577+H577+J577</f>
        <v>10170</v>
      </c>
      <c r="M577" s="5" t="s">
        <v>51</v>
      </c>
      <c r="N577" s="1" t="s">
        <v>208</v>
      </c>
      <c r="O577" s="1" t="s">
        <v>208</v>
      </c>
      <c r="P577" s="1" t="s">
        <v>51</v>
      </c>
      <c r="Q577" s="1" t="s">
        <v>51</v>
      </c>
      <c r="R577" s="1" t="s">
        <v>51</v>
      </c>
      <c r="AV577" s="1" t="s">
        <v>51</v>
      </c>
      <c r="AW577" s="1" t="s">
        <v>51</v>
      </c>
      <c r="AX577" s="1" t="s">
        <v>51</v>
      </c>
      <c r="AY577" s="1" t="s">
        <v>51</v>
      </c>
    </row>
    <row r="578" spans="1:51" ht="30" customHeight="1" x14ac:dyDescent="0.3">
      <c r="A578" s="6"/>
      <c r="B578" s="6"/>
      <c r="C578" s="6"/>
      <c r="D578" s="6"/>
      <c r="E578" s="11"/>
      <c r="F578" s="10"/>
      <c r="G578" s="11"/>
      <c r="H578" s="10"/>
      <c r="I578" s="11"/>
      <c r="J578" s="10"/>
      <c r="K578" s="11"/>
      <c r="L578" s="10"/>
      <c r="M578" s="6"/>
    </row>
    <row r="579" spans="1:51" ht="30" customHeight="1" x14ac:dyDescent="0.3">
      <c r="A579" s="37" t="s">
        <v>1372</v>
      </c>
      <c r="B579" s="37"/>
      <c r="C579" s="37"/>
      <c r="D579" s="37"/>
      <c r="E579" s="38"/>
      <c r="F579" s="39"/>
      <c r="G579" s="38"/>
      <c r="H579" s="39"/>
      <c r="I579" s="38"/>
      <c r="J579" s="39"/>
      <c r="K579" s="38"/>
      <c r="L579" s="39"/>
      <c r="M579" s="37"/>
      <c r="N579" s="1" t="s">
        <v>507</v>
      </c>
    </row>
    <row r="580" spans="1:51" ht="30" customHeight="1" x14ac:dyDescent="0.3">
      <c r="A580" s="5" t="s">
        <v>846</v>
      </c>
      <c r="B580" s="5" t="s">
        <v>1373</v>
      </c>
      <c r="C580" s="5" t="s">
        <v>65</v>
      </c>
      <c r="D580" s="6">
        <v>1</v>
      </c>
      <c r="E580" s="11">
        <f>단가대비표!O17</f>
        <v>1031</v>
      </c>
      <c r="F580" s="10">
        <f>TRUNC(E580*D580,2)</f>
        <v>1031</v>
      </c>
      <c r="G580" s="11">
        <f>단가대비표!P17</f>
        <v>0</v>
      </c>
      <c r="H580" s="10">
        <f>TRUNC(G580*D580,2)</f>
        <v>0</v>
      </c>
      <c r="I580" s="11">
        <f>단가대비표!V17</f>
        <v>0</v>
      </c>
      <c r="J580" s="10">
        <f>TRUNC(I580*D580,2)</f>
        <v>0</v>
      </c>
      <c r="K580" s="11">
        <f t="shared" ref="K580:L584" si="136">TRUNC(E580+G580+I580,2)</f>
        <v>1031</v>
      </c>
      <c r="L580" s="10">
        <f t="shared" si="136"/>
        <v>1031</v>
      </c>
      <c r="M580" s="5" t="s">
        <v>51</v>
      </c>
      <c r="N580" s="1" t="s">
        <v>507</v>
      </c>
      <c r="O580" s="1" t="s">
        <v>1374</v>
      </c>
      <c r="P580" s="1" t="s">
        <v>60</v>
      </c>
      <c r="Q580" s="1" t="s">
        <v>60</v>
      </c>
      <c r="R580" s="1" t="s">
        <v>61</v>
      </c>
      <c r="V580">
        <v>1</v>
      </c>
      <c r="AV580" s="1" t="s">
        <v>51</v>
      </c>
      <c r="AW580" s="1" t="s">
        <v>1375</v>
      </c>
      <c r="AX580" s="1" t="s">
        <v>51</v>
      </c>
      <c r="AY580" s="1" t="s">
        <v>51</v>
      </c>
    </row>
    <row r="581" spans="1:51" ht="30" customHeight="1" x14ac:dyDescent="0.3">
      <c r="A581" s="5" t="s">
        <v>846</v>
      </c>
      <c r="B581" s="5" t="s">
        <v>1373</v>
      </c>
      <c r="C581" s="5" t="s">
        <v>65</v>
      </c>
      <c r="D581" s="6">
        <v>0.1</v>
      </c>
      <c r="E581" s="11">
        <f>단가대비표!O17</f>
        <v>1031</v>
      </c>
      <c r="F581" s="10">
        <f>TRUNC(E581*D581,2)</f>
        <v>103.1</v>
      </c>
      <c r="G581" s="11">
        <f>단가대비표!P17</f>
        <v>0</v>
      </c>
      <c r="H581" s="10">
        <f>TRUNC(G581*D581,2)</f>
        <v>0</v>
      </c>
      <c r="I581" s="11">
        <f>단가대비표!V17</f>
        <v>0</v>
      </c>
      <c r="J581" s="10">
        <f>TRUNC(I581*D581,2)</f>
        <v>0</v>
      </c>
      <c r="K581" s="11">
        <f t="shared" si="136"/>
        <v>1031</v>
      </c>
      <c r="L581" s="10">
        <f t="shared" si="136"/>
        <v>103.1</v>
      </c>
      <c r="M581" s="5" t="s">
        <v>51</v>
      </c>
      <c r="N581" s="1" t="s">
        <v>507</v>
      </c>
      <c r="O581" s="1" t="s">
        <v>1374</v>
      </c>
      <c r="P581" s="1" t="s">
        <v>60</v>
      </c>
      <c r="Q581" s="1" t="s">
        <v>60</v>
      </c>
      <c r="R581" s="1" t="s">
        <v>61</v>
      </c>
      <c r="AV581" s="1" t="s">
        <v>51</v>
      </c>
      <c r="AW581" s="1" t="s">
        <v>1375</v>
      </c>
      <c r="AX581" s="1" t="s">
        <v>51</v>
      </c>
      <c r="AY581" s="1" t="s">
        <v>51</v>
      </c>
    </row>
    <row r="582" spans="1:51" ht="30" customHeight="1" x14ac:dyDescent="0.3">
      <c r="A582" s="5" t="s">
        <v>746</v>
      </c>
      <c r="B582" s="5" t="s">
        <v>786</v>
      </c>
      <c r="C582" s="5" t="s">
        <v>631</v>
      </c>
      <c r="D582" s="6">
        <v>1</v>
      </c>
      <c r="E582" s="11">
        <f>TRUNC(SUMIF(V580:V584, RIGHTB(O582, 1), F580:F584)*U582, 2)</f>
        <v>20.62</v>
      </c>
      <c r="F582" s="10">
        <f>TRUNC(E582*D582,2)</f>
        <v>20.62</v>
      </c>
      <c r="G582" s="11">
        <v>0</v>
      </c>
      <c r="H582" s="10">
        <f>TRUNC(G582*D582,2)</f>
        <v>0</v>
      </c>
      <c r="I582" s="11">
        <v>0</v>
      </c>
      <c r="J582" s="10">
        <f>TRUNC(I582*D582,2)</f>
        <v>0</v>
      </c>
      <c r="K582" s="11">
        <f t="shared" si="136"/>
        <v>20.62</v>
      </c>
      <c r="L582" s="10">
        <f t="shared" si="136"/>
        <v>20.62</v>
      </c>
      <c r="M582" s="5" t="s">
        <v>51</v>
      </c>
      <c r="N582" s="1" t="s">
        <v>507</v>
      </c>
      <c r="O582" s="1" t="s">
        <v>657</v>
      </c>
      <c r="P582" s="1" t="s">
        <v>60</v>
      </c>
      <c r="Q582" s="1" t="s">
        <v>60</v>
      </c>
      <c r="R582" s="1" t="s">
        <v>60</v>
      </c>
      <c r="S582">
        <v>0</v>
      </c>
      <c r="T582">
        <v>0</v>
      </c>
      <c r="U582">
        <v>0.02</v>
      </c>
      <c r="AV582" s="1" t="s">
        <v>51</v>
      </c>
      <c r="AW582" s="1" t="s">
        <v>1376</v>
      </c>
      <c r="AX582" s="1" t="s">
        <v>51</v>
      </c>
      <c r="AY582" s="1" t="s">
        <v>51</v>
      </c>
    </row>
    <row r="583" spans="1:51" ht="30" customHeight="1" x14ac:dyDescent="0.3">
      <c r="A583" s="5" t="s">
        <v>769</v>
      </c>
      <c r="B583" s="5" t="s">
        <v>751</v>
      </c>
      <c r="C583" s="5" t="s">
        <v>752</v>
      </c>
      <c r="D583" s="6">
        <f>공량산출근거서!K289</f>
        <v>8.9999999999999993E-3</v>
      </c>
      <c r="E583" s="11">
        <f>단가대비표!O169</f>
        <v>0</v>
      </c>
      <c r="F583" s="10">
        <f>TRUNC(E583*D583,2)</f>
        <v>0</v>
      </c>
      <c r="G583" s="11">
        <f>단가대비표!P169</f>
        <v>273676</v>
      </c>
      <c r="H583" s="10">
        <f>TRUNC(G583*D583,2)</f>
        <v>2463.08</v>
      </c>
      <c r="I583" s="11">
        <f>단가대비표!V169</f>
        <v>0</v>
      </c>
      <c r="J583" s="10">
        <f>TRUNC(I583*D583,2)</f>
        <v>0</v>
      </c>
      <c r="K583" s="11">
        <f t="shared" si="136"/>
        <v>273676</v>
      </c>
      <c r="L583" s="10">
        <f t="shared" si="136"/>
        <v>2463.08</v>
      </c>
      <c r="M583" s="5" t="s">
        <v>51</v>
      </c>
      <c r="N583" s="1" t="s">
        <v>507</v>
      </c>
      <c r="O583" s="1" t="s">
        <v>770</v>
      </c>
      <c r="P583" s="1" t="s">
        <v>60</v>
      </c>
      <c r="Q583" s="1" t="s">
        <v>60</v>
      </c>
      <c r="R583" s="1" t="s">
        <v>61</v>
      </c>
      <c r="W583">
        <v>2</v>
      </c>
      <c r="AV583" s="1" t="s">
        <v>51</v>
      </c>
      <c r="AW583" s="1" t="s">
        <v>1377</v>
      </c>
      <c r="AX583" s="1" t="s">
        <v>51</v>
      </c>
      <c r="AY583" s="1" t="s">
        <v>51</v>
      </c>
    </row>
    <row r="584" spans="1:51" ht="30" customHeight="1" x14ac:dyDescent="0.3">
      <c r="A584" s="5" t="s">
        <v>758</v>
      </c>
      <c r="B584" s="5" t="s">
        <v>759</v>
      </c>
      <c r="C584" s="5" t="s">
        <v>631</v>
      </c>
      <c r="D584" s="6">
        <v>1</v>
      </c>
      <c r="E584" s="11">
        <f>TRUNC(SUMIF(W580:W584, RIGHTB(O584, 1), H580:H584)*U584, 2)</f>
        <v>73.89</v>
      </c>
      <c r="F584" s="10">
        <f>TRUNC(E584*D584,2)</f>
        <v>73.89</v>
      </c>
      <c r="G584" s="11">
        <v>0</v>
      </c>
      <c r="H584" s="10">
        <f>TRUNC(G584*D584,2)</f>
        <v>0</v>
      </c>
      <c r="I584" s="11">
        <v>0</v>
      </c>
      <c r="J584" s="10">
        <f>TRUNC(I584*D584,2)</f>
        <v>0</v>
      </c>
      <c r="K584" s="11">
        <f t="shared" si="136"/>
        <v>73.89</v>
      </c>
      <c r="L584" s="10">
        <f t="shared" si="136"/>
        <v>73.89</v>
      </c>
      <c r="M584" s="5" t="s">
        <v>51</v>
      </c>
      <c r="N584" s="1" t="s">
        <v>507</v>
      </c>
      <c r="O584" s="1" t="s">
        <v>748</v>
      </c>
      <c r="P584" s="1" t="s">
        <v>60</v>
      </c>
      <c r="Q584" s="1" t="s">
        <v>60</v>
      </c>
      <c r="R584" s="1" t="s">
        <v>60</v>
      </c>
      <c r="S584">
        <v>1</v>
      </c>
      <c r="T584">
        <v>0</v>
      </c>
      <c r="U584">
        <v>0.03</v>
      </c>
      <c r="AV584" s="1" t="s">
        <v>51</v>
      </c>
      <c r="AW584" s="1" t="s">
        <v>1378</v>
      </c>
      <c r="AX584" s="1" t="s">
        <v>51</v>
      </c>
      <c r="AY584" s="1" t="s">
        <v>51</v>
      </c>
    </row>
    <row r="585" spans="1:51" ht="30" customHeight="1" x14ac:dyDescent="0.3">
      <c r="A585" s="5" t="s">
        <v>762</v>
      </c>
      <c r="B585" s="5" t="s">
        <v>51</v>
      </c>
      <c r="C585" s="5" t="s">
        <v>51</v>
      </c>
      <c r="D585" s="6"/>
      <c r="E585" s="11"/>
      <c r="F585" s="10">
        <f>TRUNC(SUMIF(N580:N584, N579, F580:F584),0)</f>
        <v>1228</v>
      </c>
      <c r="G585" s="11"/>
      <c r="H585" s="10">
        <f>TRUNC(SUMIF(N580:N584, N579, H580:H584),0)</f>
        <v>2463</v>
      </c>
      <c r="I585" s="11"/>
      <c r="J585" s="10">
        <f>TRUNC(SUMIF(N580:N584, N579, J580:J584),0)</f>
        <v>0</v>
      </c>
      <c r="K585" s="11"/>
      <c r="L585" s="10">
        <f>F585+H585+J585</f>
        <v>3691</v>
      </c>
      <c r="M585" s="5" t="s">
        <v>51</v>
      </c>
      <c r="N585" s="1" t="s">
        <v>208</v>
      </c>
      <c r="O585" s="1" t="s">
        <v>208</v>
      </c>
      <c r="P585" s="1" t="s">
        <v>51</v>
      </c>
      <c r="Q585" s="1" t="s">
        <v>51</v>
      </c>
      <c r="R585" s="1" t="s">
        <v>51</v>
      </c>
      <c r="AV585" s="1" t="s">
        <v>51</v>
      </c>
      <c r="AW585" s="1" t="s">
        <v>51</v>
      </c>
      <c r="AX585" s="1" t="s">
        <v>51</v>
      </c>
      <c r="AY585" s="1" t="s">
        <v>51</v>
      </c>
    </row>
    <row r="586" spans="1:51" ht="30" customHeight="1" x14ac:dyDescent="0.3">
      <c r="A586" s="6"/>
      <c r="B586" s="6"/>
      <c r="C586" s="6"/>
      <c r="D586" s="6"/>
      <c r="E586" s="11"/>
      <c r="F586" s="10"/>
      <c r="G586" s="11"/>
      <c r="H586" s="10"/>
      <c r="I586" s="11"/>
      <c r="J586" s="10"/>
      <c r="K586" s="11"/>
      <c r="L586" s="10"/>
      <c r="M586" s="6"/>
    </row>
    <row r="587" spans="1:51" ht="30" customHeight="1" x14ac:dyDescent="0.3">
      <c r="A587" s="37" t="s">
        <v>1379</v>
      </c>
      <c r="B587" s="37"/>
      <c r="C587" s="37"/>
      <c r="D587" s="37"/>
      <c r="E587" s="38"/>
      <c r="F587" s="39"/>
      <c r="G587" s="38"/>
      <c r="H587" s="39"/>
      <c r="I587" s="38"/>
      <c r="J587" s="39"/>
      <c r="K587" s="38"/>
      <c r="L587" s="39"/>
      <c r="M587" s="37"/>
      <c r="N587" s="1" t="s">
        <v>521</v>
      </c>
    </row>
    <row r="588" spans="1:51" ht="30" customHeight="1" x14ac:dyDescent="0.3">
      <c r="A588" s="5" t="s">
        <v>357</v>
      </c>
      <c r="B588" s="5" t="s">
        <v>1380</v>
      </c>
      <c r="C588" s="5" t="s">
        <v>58</v>
      </c>
      <c r="D588" s="6">
        <v>1</v>
      </c>
      <c r="E588" s="11">
        <f>단가대비표!O139</f>
        <v>1421</v>
      </c>
      <c r="F588" s="10">
        <f t="shared" ref="F588:F593" si="137">TRUNC(E588*D588,2)</f>
        <v>1421</v>
      </c>
      <c r="G588" s="11">
        <f>단가대비표!P139</f>
        <v>0</v>
      </c>
      <c r="H588" s="10">
        <f t="shared" ref="H588:H593" si="138">TRUNC(G588*D588,2)</f>
        <v>0</v>
      </c>
      <c r="I588" s="11">
        <f>단가대비표!V139</f>
        <v>0</v>
      </c>
      <c r="J588" s="10">
        <f t="shared" ref="J588:J593" si="139">TRUNC(I588*D588,2)</f>
        <v>0</v>
      </c>
      <c r="K588" s="11">
        <f t="shared" ref="K588:L593" si="140">TRUNC(E588+G588+I588,2)</f>
        <v>1421</v>
      </c>
      <c r="L588" s="10">
        <f t="shared" si="140"/>
        <v>1421</v>
      </c>
      <c r="M588" s="5" t="s">
        <v>51</v>
      </c>
      <c r="N588" s="1" t="s">
        <v>521</v>
      </c>
      <c r="O588" s="1" t="s">
        <v>1381</v>
      </c>
      <c r="P588" s="1" t="s">
        <v>60</v>
      </c>
      <c r="Q588" s="1" t="s">
        <v>60</v>
      </c>
      <c r="R588" s="1" t="s">
        <v>61</v>
      </c>
      <c r="V588">
        <v>1</v>
      </c>
      <c r="W588">
        <v>2</v>
      </c>
      <c r="AV588" s="1" t="s">
        <v>51</v>
      </c>
      <c r="AW588" s="1" t="s">
        <v>1382</v>
      </c>
      <c r="AX588" s="1" t="s">
        <v>51</v>
      </c>
      <c r="AY588" s="1" t="s">
        <v>51</v>
      </c>
    </row>
    <row r="589" spans="1:51" ht="30" customHeight="1" x14ac:dyDescent="0.3">
      <c r="A589" s="5" t="s">
        <v>357</v>
      </c>
      <c r="B589" s="5" t="s">
        <v>1380</v>
      </c>
      <c r="C589" s="5" t="s">
        <v>58</v>
      </c>
      <c r="D589" s="6">
        <v>0.1</v>
      </c>
      <c r="E589" s="11">
        <f>단가대비표!O139</f>
        <v>1421</v>
      </c>
      <c r="F589" s="10">
        <f t="shared" si="137"/>
        <v>142.1</v>
      </c>
      <c r="G589" s="11">
        <f>단가대비표!P139</f>
        <v>0</v>
      </c>
      <c r="H589" s="10">
        <f t="shared" si="138"/>
        <v>0</v>
      </c>
      <c r="I589" s="11">
        <f>단가대비표!V139</f>
        <v>0</v>
      </c>
      <c r="J589" s="10">
        <f t="shared" si="139"/>
        <v>0</v>
      </c>
      <c r="K589" s="11">
        <f t="shared" si="140"/>
        <v>1421</v>
      </c>
      <c r="L589" s="10">
        <f t="shared" si="140"/>
        <v>142.1</v>
      </c>
      <c r="M589" s="5" t="s">
        <v>51</v>
      </c>
      <c r="N589" s="1" t="s">
        <v>521</v>
      </c>
      <c r="O589" s="1" t="s">
        <v>1381</v>
      </c>
      <c r="P589" s="1" t="s">
        <v>60</v>
      </c>
      <c r="Q589" s="1" t="s">
        <v>60</v>
      </c>
      <c r="R589" s="1" t="s">
        <v>61</v>
      </c>
      <c r="AV589" s="1" t="s">
        <v>51</v>
      </c>
      <c r="AW589" s="1" t="s">
        <v>1382</v>
      </c>
      <c r="AX589" s="1" t="s">
        <v>51</v>
      </c>
      <c r="AY589" s="1" t="s">
        <v>51</v>
      </c>
    </row>
    <row r="590" spans="1:51" ht="30" customHeight="1" x14ac:dyDescent="0.3">
      <c r="A590" s="5" t="s">
        <v>743</v>
      </c>
      <c r="B590" s="5" t="s">
        <v>744</v>
      </c>
      <c r="C590" s="5" t="s">
        <v>631</v>
      </c>
      <c r="D590" s="6">
        <v>1</v>
      </c>
      <c r="E590" s="11">
        <f>TRUNC(SUMIF(V588:V593, RIGHTB(O590, 1), F588:F593)*U590, 2)</f>
        <v>213.15</v>
      </c>
      <c r="F590" s="10">
        <f t="shared" si="137"/>
        <v>213.15</v>
      </c>
      <c r="G590" s="11">
        <v>0</v>
      </c>
      <c r="H590" s="10">
        <f t="shared" si="138"/>
        <v>0</v>
      </c>
      <c r="I590" s="11">
        <v>0</v>
      </c>
      <c r="J590" s="10">
        <f t="shared" si="139"/>
        <v>0</v>
      </c>
      <c r="K590" s="11">
        <f t="shared" si="140"/>
        <v>213.15</v>
      </c>
      <c r="L590" s="10">
        <f t="shared" si="140"/>
        <v>213.15</v>
      </c>
      <c r="M590" s="5" t="s">
        <v>51</v>
      </c>
      <c r="N590" s="1" t="s">
        <v>521</v>
      </c>
      <c r="O590" s="1" t="s">
        <v>657</v>
      </c>
      <c r="P590" s="1" t="s">
        <v>60</v>
      </c>
      <c r="Q590" s="1" t="s">
        <v>60</v>
      </c>
      <c r="R590" s="1" t="s">
        <v>60</v>
      </c>
      <c r="S590">
        <v>0</v>
      </c>
      <c r="T590">
        <v>0</v>
      </c>
      <c r="U590">
        <v>0.15</v>
      </c>
      <c r="AV590" s="1" t="s">
        <v>51</v>
      </c>
      <c r="AW590" s="1" t="s">
        <v>1383</v>
      </c>
      <c r="AX590" s="1" t="s">
        <v>51</v>
      </c>
      <c r="AY590" s="1" t="s">
        <v>51</v>
      </c>
    </row>
    <row r="591" spans="1:51" ht="30" customHeight="1" x14ac:dyDescent="0.3">
      <c r="A591" s="5" t="s">
        <v>746</v>
      </c>
      <c r="B591" s="5" t="s">
        <v>786</v>
      </c>
      <c r="C591" s="5" t="s">
        <v>631</v>
      </c>
      <c r="D591" s="6">
        <v>1</v>
      </c>
      <c r="E591" s="11">
        <f>TRUNC(SUMIF(W588:W593, RIGHTB(O591, 1), F588:F593)*U591, 2)</f>
        <v>28.42</v>
      </c>
      <c r="F591" s="10">
        <f t="shared" si="137"/>
        <v>28.42</v>
      </c>
      <c r="G591" s="11">
        <v>0</v>
      </c>
      <c r="H591" s="10">
        <f t="shared" si="138"/>
        <v>0</v>
      </c>
      <c r="I591" s="11">
        <v>0</v>
      </c>
      <c r="J591" s="10">
        <f t="shared" si="139"/>
        <v>0</v>
      </c>
      <c r="K591" s="11">
        <f t="shared" si="140"/>
        <v>28.42</v>
      </c>
      <c r="L591" s="10">
        <f t="shared" si="140"/>
        <v>28.42</v>
      </c>
      <c r="M591" s="5" t="s">
        <v>51</v>
      </c>
      <c r="N591" s="1" t="s">
        <v>521</v>
      </c>
      <c r="O591" s="1" t="s">
        <v>748</v>
      </c>
      <c r="P591" s="1" t="s">
        <v>60</v>
      </c>
      <c r="Q591" s="1" t="s">
        <v>60</v>
      </c>
      <c r="R591" s="1" t="s">
        <v>60</v>
      </c>
      <c r="S591">
        <v>0</v>
      </c>
      <c r="T591">
        <v>0</v>
      </c>
      <c r="U591">
        <v>0.02</v>
      </c>
      <c r="AV591" s="1" t="s">
        <v>51</v>
      </c>
      <c r="AW591" s="1" t="s">
        <v>1384</v>
      </c>
      <c r="AX591" s="1" t="s">
        <v>51</v>
      </c>
      <c r="AY591" s="1" t="s">
        <v>51</v>
      </c>
    </row>
    <row r="592" spans="1:51" ht="30" customHeight="1" x14ac:dyDescent="0.3">
      <c r="A592" s="5" t="s">
        <v>769</v>
      </c>
      <c r="B592" s="5" t="s">
        <v>751</v>
      </c>
      <c r="C592" s="5" t="s">
        <v>752</v>
      </c>
      <c r="D592" s="6">
        <f>공량산출근거서!K293</f>
        <v>5.3100000000000001E-2</v>
      </c>
      <c r="E592" s="11">
        <f>단가대비표!O169</f>
        <v>0</v>
      </c>
      <c r="F592" s="10">
        <f t="shared" si="137"/>
        <v>0</v>
      </c>
      <c r="G592" s="11">
        <f>단가대비표!P169</f>
        <v>273676</v>
      </c>
      <c r="H592" s="10">
        <f t="shared" si="138"/>
        <v>14532.19</v>
      </c>
      <c r="I592" s="11">
        <f>단가대비표!V169</f>
        <v>0</v>
      </c>
      <c r="J592" s="10">
        <f t="shared" si="139"/>
        <v>0</v>
      </c>
      <c r="K592" s="11">
        <f t="shared" si="140"/>
        <v>273676</v>
      </c>
      <c r="L592" s="10">
        <f t="shared" si="140"/>
        <v>14532.19</v>
      </c>
      <c r="M592" s="5" t="s">
        <v>51</v>
      </c>
      <c r="N592" s="1" t="s">
        <v>521</v>
      </c>
      <c r="O592" s="1" t="s">
        <v>770</v>
      </c>
      <c r="P592" s="1" t="s">
        <v>60</v>
      </c>
      <c r="Q592" s="1" t="s">
        <v>60</v>
      </c>
      <c r="R592" s="1" t="s">
        <v>61</v>
      </c>
      <c r="X592">
        <v>3</v>
      </c>
      <c r="AV592" s="1" t="s">
        <v>51</v>
      </c>
      <c r="AW592" s="1" t="s">
        <v>1385</v>
      </c>
      <c r="AX592" s="1" t="s">
        <v>51</v>
      </c>
      <c r="AY592" s="1" t="s">
        <v>51</v>
      </c>
    </row>
    <row r="593" spans="1:51" ht="30" customHeight="1" x14ac:dyDescent="0.3">
      <c r="A593" s="5" t="s">
        <v>758</v>
      </c>
      <c r="B593" s="5" t="s">
        <v>759</v>
      </c>
      <c r="C593" s="5" t="s">
        <v>631</v>
      </c>
      <c r="D593" s="6">
        <v>1</v>
      </c>
      <c r="E593" s="11">
        <f>TRUNC(SUMIF(X588:X593, RIGHTB(O593, 1), H588:H593)*U593, 2)</f>
        <v>435.96</v>
      </c>
      <c r="F593" s="10">
        <f t="shared" si="137"/>
        <v>435.96</v>
      </c>
      <c r="G593" s="11">
        <v>0</v>
      </c>
      <c r="H593" s="10">
        <f t="shared" si="138"/>
        <v>0</v>
      </c>
      <c r="I593" s="11">
        <v>0</v>
      </c>
      <c r="J593" s="10">
        <f t="shared" si="139"/>
        <v>0</v>
      </c>
      <c r="K593" s="11">
        <f t="shared" si="140"/>
        <v>435.96</v>
      </c>
      <c r="L593" s="10">
        <f t="shared" si="140"/>
        <v>435.96</v>
      </c>
      <c r="M593" s="5" t="s">
        <v>51</v>
      </c>
      <c r="N593" s="1" t="s">
        <v>521</v>
      </c>
      <c r="O593" s="1" t="s">
        <v>760</v>
      </c>
      <c r="P593" s="1" t="s">
        <v>60</v>
      </c>
      <c r="Q593" s="1" t="s">
        <v>60</v>
      </c>
      <c r="R593" s="1" t="s">
        <v>60</v>
      </c>
      <c r="S593">
        <v>1</v>
      </c>
      <c r="T593">
        <v>0</v>
      </c>
      <c r="U593">
        <v>0.03</v>
      </c>
      <c r="AV593" s="1" t="s">
        <v>51</v>
      </c>
      <c r="AW593" s="1" t="s">
        <v>1386</v>
      </c>
      <c r="AX593" s="1" t="s">
        <v>51</v>
      </c>
      <c r="AY593" s="1" t="s">
        <v>51</v>
      </c>
    </row>
    <row r="594" spans="1:51" ht="30" customHeight="1" x14ac:dyDescent="0.3">
      <c r="A594" s="5" t="s">
        <v>762</v>
      </c>
      <c r="B594" s="5" t="s">
        <v>51</v>
      </c>
      <c r="C594" s="5" t="s">
        <v>51</v>
      </c>
      <c r="D594" s="6"/>
      <c r="E594" s="11"/>
      <c r="F594" s="10">
        <f>TRUNC(SUMIF(N588:N593, N587, F588:F593),0)</f>
        <v>2240</v>
      </c>
      <c r="G594" s="11"/>
      <c r="H594" s="10">
        <f>TRUNC(SUMIF(N588:N593, N587, H588:H593),0)</f>
        <v>14532</v>
      </c>
      <c r="I594" s="11"/>
      <c r="J594" s="10">
        <f>TRUNC(SUMIF(N588:N593, N587, J588:J593),0)</f>
        <v>0</v>
      </c>
      <c r="K594" s="11"/>
      <c r="L594" s="10">
        <f>F594+H594+J594</f>
        <v>16772</v>
      </c>
      <c r="M594" s="5" t="s">
        <v>51</v>
      </c>
      <c r="N594" s="1" t="s">
        <v>208</v>
      </c>
      <c r="O594" s="1" t="s">
        <v>208</v>
      </c>
      <c r="P594" s="1" t="s">
        <v>51</v>
      </c>
      <c r="Q594" s="1" t="s">
        <v>51</v>
      </c>
      <c r="R594" s="1" t="s">
        <v>51</v>
      </c>
      <c r="AV594" s="1" t="s">
        <v>51</v>
      </c>
      <c r="AW594" s="1" t="s">
        <v>51</v>
      </c>
      <c r="AX594" s="1" t="s">
        <v>51</v>
      </c>
      <c r="AY594" s="1" t="s">
        <v>51</v>
      </c>
    </row>
    <row r="595" spans="1:51" ht="30" customHeight="1" x14ac:dyDescent="0.3">
      <c r="A595" s="6"/>
      <c r="B595" s="6"/>
      <c r="C595" s="6"/>
      <c r="D595" s="6"/>
      <c r="E595" s="11"/>
      <c r="F595" s="10"/>
      <c r="G595" s="11"/>
      <c r="H595" s="10"/>
      <c r="I595" s="11"/>
      <c r="J595" s="10"/>
      <c r="K595" s="11"/>
      <c r="L595" s="10"/>
      <c r="M595" s="6"/>
    </row>
    <row r="596" spans="1:51" ht="30" customHeight="1" x14ac:dyDescent="0.3">
      <c r="A596" s="37" t="s">
        <v>1387</v>
      </c>
      <c r="B596" s="37"/>
      <c r="C596" s="37"/>
      <c r="D596" s="37"/>
      <c r="E596" s="38"/>
      <c r="F596" s="39"/>
      <c r="G596" s="38"/>
      <c r="H596" s="39"/>
      <c r="I596" s="38"/>
      <c r="J596" s="39"/>
      <c r="K596" s="38"/>
      <c r="L596" s="39"/>
      <c r="M596" s="37"/>
      <c r="N596" s="1" t="s">
        <v>525</v>
      </c>
    </row>
    <row r="597" spans="1:51" ht="30" customHeight="1" x14ac:dyDescent="0.3">
      <c r="A597" s="5" t="s">
        <v>357</v>
      </c>
      <c r="B597" s="5" t="s">
        <v>1388</v>
      </c>
      <c r="C597" s="5" t="s">
        <v>58</v>
      </c>
      <c r="D597" s="6">
        <v>1</v>
      </c>
      <c r="E597" s="11">
        <f>단가대비표!O140</f>
        <v>2777</v>
      </c>
      <c r="F597" s="10">
        <f t="shared" ref="F597:F602" si="141">TRUNC(E597*D597,2)</f>
        <v>2777</v>
      </c>
      <c r="G597" s="11">
        <f>단가대비표!P140</f>
        <v>0</v>
      </c>
      <c r="H597" s="10">
        <f t="shared" ref="H597:H602" si="142">TRUNC(G597*D597,2)</f>
        <v>0</v>
      </c>
      <c r="I597" s="11">
        <f>단가대비표!V140</f>
        <v>0</v>
      </c>
      <c r="J597" s="10">
        <f t="shared" ref="J597:J602" si="143">TRUNC(I597*D597,2)</f>
        <v>0</v>
      </c>
      <c r="K597" s="11">
        <f t="shared" ref="K597:L602" si="144">TRUNC(E597+G597+I597,2)</f>
        <v>2777</v>
      </c>
      <c r="L597" s="10">
        <f t="shared" si="144"/>
        <v>2777</v>
      </c>
      <c r="M597" s="5" t="s">
        <v>51</v>
      </c>
      <c r="N597" s="1" t="s">
        <v>525</v>
      </c>
      <c r="O597" s="1" t="s">
        <v>1389</v>
      </c>
      <c r="P597" s="1" t="s">
        <v>60</v>
      </c>
      <c r="Q597" s="1" t="s">
        <v>60</v>
      </c>
      <c r="R597" s="1" t="s">
        <v>61</v>
      </c>
      <c r="V597">
        <v>1</v>
      </c>
      <c r="W597">
        <v>2</v>
      </c>
      <c r="AV597" s="1" t="s">
        <v>51</v>
      </c>
      <c r="AW597" s="1" t="s">
        <v>1390</v>
      </c>
      <c r="AX597" s="1" t="s">
        <v>51</v>
      </c>
      <c r="AY597" s="1" t="s">
        <v>51</v>
      </c>
    </row>
    <row r="598" spans="1:51" ht="30" customHeight="1" x14ac:dyDescent="0.3">
      <c r="A598" s="5" t="s">
        <v>357</v>
      </c>
      <c r="B598" s="5" t="s">
        <v>1388</v>
      </c>
      <c r="C598" s="5" t="s">
        <v>58</v>
      </c>
      <c r="D598" s="6">
        <v>0.1</v>
      </c>
      <c r="E598" s="11">
        <f>단가대비표!O140</f>
        <v>2777</v>
      </c>
      <c r="F598" s="10">
        <f t="shared" si="141"/>
        <v>277.7</v>
      </c>
      <c r="G598" s="11">
        <f>단가대비표!P140</f>
        <v>0</v>
      </c>
      <c r="H598" s="10">
        <f t="shared" si="142"/>
        <v>0</v>
      </c>
      <c r="I598" s="11">
        <f>단가대비표!V140</f>
        <v>0</v>
      </c>
      <c r="J598" s="10">
        <f t="shared" si="143"/>
        <v>0</v>
      </c>
      <c r="K598" s="11">
        <f t="shared" si="144"/>
        <v>2777</v>
      </c>
      <c r="L598" s="10">
        <f t="shared" si="144"/>
        <v>277.7</v>
      </c>
      <c r="M598" s="5" t="s">
        <v>51</v>
      </c>
      <c r="N598" s="1" t="s">
        <v>525</v>
      </c>
      <c r="O598" s="1" t="s">
        <v>1389</v>
      </c>
      <c r="P598" s="1" t="s">
        <v>60</v>
      </c>
      <c r="Q598" s="1" t="s">
        <v>60</v>
      </c>
      <c r="R598" s="1" t="s">
        <v>61</v>
      </c>
      <c r="AV598" s="1" t="s">
        <v>51</v>
      </c>
      <c r="AW598" s="1" t="s">
        <v>1390</v>
      </c>
      <c r="AX598" s="1" t="s">
        <v>51</v>
      </c>
      <c r="AY598" s="1" t="s">
        <v>51</v>
      </c>
    </row>
    <row r="599" spans="1:51" ht="30" customHeight="1" x14ac:dyDescent="0.3">
      <c r="A599" s="5" t="s">
        <v>743</v>
      </c>
      <c r="B599" s="5" t="s">
        <v>744</v>
      </c>
      <c r="C599" s="5" t="s">
        <v>631</v>
      </c>
      <c r="D599" s="6">
        <v>1</v>
      </c>
      <c r="E599" s="11">
        <f>TRUNC(SUMIF(V597:V602, RIGHTB(O599, 1), F597:F602)*U599, 2)</f>
        <v>416.55</v>
      </c>
      <c r="F599" s="10">
        <f t="shared" si="141"/>
        <v>416.55</v>
      </c>
      <c r="G599" s="11">
        <v>0</v>
      </c>
      <c r="H599" s="10">
        <f t="shared" si="142"/>
        <v>0</v>
      </c>
      <c r="I599" s="11">
        <v>0</v>
      </c>
      <c r="J599" s="10">
        <f t="shared" si="143"/>
        <v>0</v>
      </c>
      <c r="K599" s="11">
        <f t="shared" si="144"/>
        <v>416.55</v>
      </c>
      <c r="L599" s="10">
        <f t="shared" si="144"/>
        <v>416.55</v>
      </c>
      <c r="M599" s="5" t="s">
        <v>51</v>
      </c>
      <c r="N599" s="1" t="s">
        <v>525</v>
      </c>
      <c r="O599" s="1" t="s">
        <v>657</v>
      </c>
      <c r="P599" s="1" t="s">
        <v>60</v>
      </c>
      <c r="Q599" s="1" t="s">
        <v>60</v>
      </c>
      <c r="R599" s="1" t="s">
        <v>60</v>
      </c>
      <c r="S599">
        <v>0</v>
      </c>
      <c r="T599">
        <v>0</v>
      </c>
      <c r="U599">
        <v>0.15</v>
      </c>
      <c r="AV599" s="1" t="s">
        <v>51</v>
      </c>
      <c r="AW599" s="1" t="s">
        <v>1391</v>
      </c>
      <c r="AX599" s="1" t="s">
        <v>51</v>
      </c>
      <c r="AY599" s="1" t="s">
        <v>51</v>
      </c>
    </row>
    <row r="600" spans="1:51" ht="30" customHeight="1" x14ac:dyDescent="0.3">
      <c r="A600" s="5" t="s">
        <v>746</v>
      </c>
      <c r="B600" s="5" t="s">
        <v>786</v>
      </c>
      <c r="C600" s="5" t="s">
        <v>631</v>
      </c>
      <c r="D600" s="6">
        <v>1</v>
      </c>
      <c r="E600" s="11">
        <f>TRUNC(SUMIF(W597:W602, RIGHTB(O600, 1), F597:F602)*U600, 2)</f>
        <v>55.54</v>
      </c>
      <c r="F600" s="10">
        <f t="shared" si="141"/>
        <v>55.54</v>
      </c>
      <c r="G600" s="11">
        <v>0</v>
      </c>
      <c r="H600" s="10">
        <f t="shared" si="142"/>
        <v>0</v>
      </c>
      <c r="I600" s="11">
        <v>0</v>
      </c>
      <c r="J600" s="10">
        <f t="shared" si="143"/>
        <v>0</v>
      </c>
      <c r="K600" s="11">
        <f t="shared" si="144"/>
        <v>55.54</v>
      </c>
      <c r="L600" s="10">
        <f t="shared" si="144"/>
        <v>55.54</v>
      </c>
      <c r="M600" s="5" t="s">
        <v>51</v>
      </c>
      <c r="N600" s="1" t="s">
        <v>525</v>
      </c>
      <c r="O600" s="1" t="s">
        <v>748</v>
      </c>
      <c r="P600" s="1" t="s">
        <v>60</v>
      </c>
      <c r="Q600" s="1" t="s">
        <v>60</v>
      </c>
      <c r="R600" s="1" t="s">
        <v>60</v>
      </c>
      <c r="S600">
        <v>0</v>
      </c>
      <c r="T600">
        <v>0</v>
      </c>
      <c r="U600">
        <v>0.02</v>
      </c>
      <c r="AV600" s="1" t="s">
        <v>51</v>
      </c>
      <c r="AW600" s="1" t="s">
        <v>1392</v>
      </c>
      <c r="AX600" s="1" t="s">
        <v>51</v>
      </c>
      <c r="AY600" s="1" t="s">
        <v>51</v>
      </c>
    </row>
    <row r="601" spans="1:51" ht="30" customHeight="1" x14ac:dyDescent="0.3">
      <c r="A601" s="5" t="s">
        <v>769</v>
      </c>
      <c r="B601" s="5" t="s">
        <v>751</v>
      </c>
      <c r="C601" s="5" t="s">
        <v>752</v>
      </c>
      <c r="D601" s="6">
        <f>공량산출근거서!K297</f>
        <v>9.3600000000000003E-2</v>
      </c>
      <c r="E601" s="11">
        <f>단가대비표!O169</f>
        <v>0</v>
      </c>
      <c r="F601" s="10">
        <f t="shared" si="141"/>
        <v>0</v>
      </c>
      <c r="G601" s="11">
        <f>단가대비표!P169</f>
        <v>273676</v>
      </c>
      <c r="H601" s="10">
        <f t="shared" si="142"/>
        <v>25616.07</v>
      </c>
      <c r="I601" s="11">
        <f>단가대비표!V169</f>
        <v>0</v>
      </c>
      <c r="J601" s="10">
        <f t="shared" si="143"/>
        <v>0</v>
      </c>
      <c r="K601" s="11">
        <f t="shared" si="144"/>
        <v>273676</v>
      </c>
      <c r="L601" s="10">
        <f t="shared" si="144"/>
        <v>25616.07</v>
      </c>
      <c r="M601" s="5" t="s">
        <v>51</v>
      </c>
      <c r="N601" s="1" t="s">
        <v>525</v>
      </c>
      <c r="O601" s="1" t="s">
        <v>770</v>
      </c>
      <c r="P601" s="1" t="s">
        <v>60</v>
      </c>
      <c r="Q601" s="1" t="s">
        <v>60</v>
      </c>
      <c r="R601" s="1" t="s">
        <v>61</v>
      </c>
      <c r="X601">
        <v>3</v>
      </c>
      <c r="AV601" s="1" t="s">
        <v>51</v>
      </c>
      <c r="AW601" s="1" t="s">
        <v>1393</v>
      </c>
      <c r="AX601" s="1" t="s">
        <v>51</v>
      </c>
      <c r="AY601" s="1" t="s">
        <v>51</v>
      </c>
    </row>
    <row r="602" spans="1:51" ht="30" customHeight="1" x14ac:dyDescent="0.3">
      <c r="A602" s="5" t="s">
        <v>758</v>
      </c>
      <c r="B602" s="5" t="s">
        <v>759</v>
      </c>
      <c r="C602" s="5" t="s">
        <v>631</v>
      </c>
      <c r="D602" s="6">
        <v>1</v>
      </c>
      <c r="E602" s="11">
        <f>TRUNC(SUMIF(X597:X602, RIGHTB(O602, 1), H597:H602)*U602, 2)</f>
        <v>768.48</v>
      </c>
      <c r="F602" s="10">
        <f t="shared" si="141"/>
        <v>768.48</v>
      </c>
      <c r="G602" s="11">
        <v>0</v>
      </c>
      <c r="H602" s="10">
        <f t="shared" si="142"/>
        <v>0</v>
      </c>
      <c r="I602" s="11">
        <v>0</v>
      </c>
      <c r="J602" s="10">
        <f t="shared" si="143"/>
        <v>0</v>
      </c>
      <c r="K602" s="11">
        <f t="shared" si="144"/>
        <v>768.48</v>
      </c>
      <c r="L602" s="10">
        <f t="shared" si="144"/>
        <v>768.48</v>
      </c>
      <c r="M602" s="5" t="s">
        <v>51</v>
      </c>
      <c r="N602" s="1" t="s">
        <v>525</v>
      </c>
      <c r="O602" s="1" t="s">
        <v>760</v>
      </c>
      <c r="P602" s="1" t="s">
        <v>60</v>
      </c>
      <c r="Q602" s="1" t="s">
        <v>60</v>
      </c>
      <c r="R602" s="1" t="s">
        <v>60</v>
      </c>
      <c r="S602">
        <v>1</v>
      </c>
      <c r="T602">
        <v>0</v>
      </c>
      <c r="U602">
        <v>0.03</v>
      </c>
      <c r="AV602" s="1" t="s">
        <v>51</v>
      </c>
      <c r="AW602" s="1" t="s">
        <v>1394</v>
      </c>
      <c r="AX602" s="1" t="s">
        <v>51</v>
      </c>
      <c r="AY602" s="1" t="s">
        <v>51</v>
      </c>
    </row>
    <row r="603" spans="1:51" ht="30" customHeight="1" x14ac:dyDescent="0.3">
      <c r="A603" s="5" t="s">
        <v>762</v>
      </c>
      <c r="B603" s="5" t="s">
        <v>51</v>
      </c>
      <c r="C603" s="5" t="s">
        <v>51</v>
      </c>
      <c r="D603" s="6"/>
      <c r="E603" s="11"/>
      <c r="F603" s="10">
        <f>TRUNC(SUMIF(N597:N602, N596, F597:F602),0)</f>
        <v>4295</v>
      </c>
      <c r="G603" s="11"/>
      <c r="H603" s="10">
        <f>TRUNC(SUMIF(N597:N602, N596, H597:H602),0)</f>
        <v>25616</v>
      </c>
      <c r="I603" s="11"/>
      <c r="J603" s="10">
        <f>TRUNC(SUMIF(N597:N602, N596, J597:J602),0)</f>
        <v>0</v>
      </c>
      <c r="K603" s="11"/>
      <c r="L603" s="10">
        <f>F603+H603+J603</f>
        <v>29911</v>
      </c>
      <c r="M603" s="5" t="s">
        <v>51</v>
      </c>
      <c r="N603" s="1" t="s">
        <v>208</v>
      </c>
      <c r="O603" s="1" t="s">
        <v>208</v>
      </c>
      <c r="P603" s="1" t="s">
        <v>51</v>
      </c>
      <c r="Q603" s="1" t="s">
        <v>51</v>
      </c>
      <c r="R603" s="1" t="s">
        <v>51</v>
      </c>
      <c r="AV603" s="1" t="s">
        <v>51</v>
      </c>
      <c r="AW603" s="1" t="s">
        <v>51</v>
      </c>
      <c r="AX603" s="1" t="s">
        <v>51</v>
      </c>
      <c r="AY603" s="1" t="s">
        <v>51</v>
      </c>
    </row>
    <row r="604" spans="1:51" ht="30" customHeight="1" x14ac:dyDescent="0.3">
      <c r="A604" s="6"/>
      <c r="B604" s="6"/>
      <c r="C604" s="6"/>
      <c r="D604" s="6"/>
      <c r="E604" s="11"/>
      <c r="F604" s="10"/>
      <c r="G604" s="11"/>
      <c r="H604" s="10"/>
      <c r="I604" s="11"/>
      <c r="J604" s="10"/>
      <c r="K604" s="11"/>
      <c r="L604" s="10"/>
      <c r="M604" s="6"/>
    </row>
    <row r="605" spans="1:51" ht="30" customHeight="1" x14ac:dyDescent="0.3">
      <c r="A605" s="37" t="s">
        <v>1395</v>
      </c>
      <c r="B605" s="37"/>
      <c r="C605" s="37"/>
      <c r="D605" s="37"/>
      <c r="E605" s="38"/>
      <c r="F605" s="39"/>
      <c r="G605" s="38"/>
      <c r="H605" s="39"/>
      <c r="I605" s="38"/>
      <c r="J605" s="39"/>
      <c r="K605" s="38"/>
      <c r="L605" s="39"/>
      <c r="M605" s="37"/>
      <c r="N605" s="1" t="s">
        <v>533</v>
      </c>
    </row>
    <row r="606" spans="1:51" ht="30" customHeight="1" x14ac:dyDescent="0.3">
      <c r="A606" s="5" t="s">
        <v>106</v>
      </c>
      <c r="B606" s="5" t="s">
        <v>1396</v>
      </c>
      <c r="C606" s="5" t="s">
        <v>65</v>
      </c>
      <c r="D606" s="6">
        <v>1</v>
      </c>
      <c r="E606" s="11">
        <f>단가대비표!O39</f>
        <v>3380</v>
      </c>
      <c r="F606" s="10">
        <f>TRUNC(E606*D606,2)</f>
        <v>3380</v>
      </c>
      <c r="G606" s="11">
        <f>단가대비표!P39</f>
        <v>0</v>
      </c>
      <c r="H606" s="10">
        <f>TRUNC(G606*D606,2)</f>
        <v>0</v>
      </c>
      <c r="I606" s="11">
        <f>단가대비표!V39</f>
        <v>0</v>
      </c>
      <c r="J606" s="10">
        <f>TRUNC(I606*D606,2)</f>
        <v>0</v>
      </c>
      <c r="K606" s="11">
        <f t="shared" ref="K606:L610" si="145">TRUNC(E606+G606+I606,2)</f>
        <v>3380</v>
      </c>
      <c r="L606" s="10">
        <f t="shared" si="145"/>
        <v>3380</v>
      </c>
      <c r="M606" s="5" t="s">
        <v>51</v>
      </c>
      <c r="N606" s="1" t="s">
        <v>533</v>
      </c>
      <c r="O606" s="1" t="s">
        <v>1397</v>
      </c>
      <c r="P606" s="1" t="s">
        <v>60</v>
      </c>
      <c r="Q606" s="1" t="s">
        <v>60</v>
      </c>
      <c r="R606" s="1" t="s">
        <v>61</v>
      </c>
      <c r="V606">
        <v>1</v>
      </c>
      <c r="AV606" s="1" t="s">
        <v>51</v>
      </c>
      <c r="AW606" s="1" t="s">
        <v>1398</v>
      </c>
      <c r="AX606" s="1" t="s">
        <v>51</v>
      </c>
      <c r="AY606" s="1" t="s">
        <v>51</v>
      </c>
    </row>
    <row r="607" spans="1:51" ht="30" customHeight="1" x14ac:dyDescent="0.3">
      <c r="A607" s="5" t="s">
        <v>106</v>
      </c>
      <c r="B607" s="5" t="s">
        <v>1396</v>
      </c>
      <c r="C607" s="5" t="s">
        <v>65</v>
      </c>
      <c r="D607" s="6">
        <v>0.05</v>
      </c>
      <c r="E607" s="11">
        <f>단가대비표!O39</f>
        <v>3380</v>
      </c>
      <c r="F607" s="10">
        <f>TRUNC(E607*D607,2)</f>
        <v>169</v>
      </c>
      <c r="G607" s="11">
        <f>단가대비표!P39</f>
        <v>0</v>
      </c>
      <c r="H607" s="10">
        <f>TRUNC(G607*D607,2)</f>
        <v>0</v>
      </c>
      <c r="I607" s="11">
        <f>단가대비표!V39</f>
        <v>0</v>
      </c>
      <c r="J607" s="10">
        <f>TRUNC(I607*D607,2)</f>
        <v>0</v>
      </c>
      <c r="K607" s="11">
        <f t="shared" si="145"/>
        <v>3380</v>
      </c>
      <c r="L607" s="10">
        <f t="shared" si="145"/>
        <v>169</v>
      </c>
      <c r="M607" s="5" t="s">
        <v>51</v>
      </c>
      <c r="N607" s="1" t="s">
        <v>533</v>
      </c>
      <c r="O607" s="1" t="s">
        <v>1397</v>
      </c>
      <c r="P607" s="1" t="s">
        <v>60</v>
      </c>
      <c r="Q607" s="1" t="s">
        <v>60</v>
      </c>
      <c r="R607" s="1" t="s">
        <v>61</v>
      </c>
      <c r="AV607" s="1" t="s">
        <v>51</v>
      </c>
      <c r="AW607" s="1" t="s">
        <v>1398</v>
      </c>
      <c r="AX607" s="1" t="s">
        <v>51</v>
      </c>
      <c r="AY607" s="1" t="s">
        <v>51</v>
      </c>
    </row>
    <row r="608" spans="1:51" ht="30" customHeight="1" x14ac:dyDescent="0.3">
      <c r="A608" s="5" t="s">
        <v>746</v>
      </c>
      <c r="B608" s="5" t="s">
        <v>747</v>
      </c>
      <c r="C608" s="5" t="s">
        <v>631</v>
      </c>
      <c r="D608" s="6">
        <v>1</v>
      </c>
      <c r="E608" s="11">
        <f>TRUNC(SUMIF(V606:V610, RIGHTB(O608, 1), F606:F610)*U608, 2)</f>
        <v>67.599999999999994</v>
      </c>
      <c r="F608" s="10">
        <f>TRUNC(E608*D608,2)</f>
        <v>67.599999999999994</v>
      </c>
      <c r="G608" s="11">
        <v>0</v>
      </c>
      <c r="H608" s="10">
        <f>TRUNC(G608*D608,2)</f>
        <v>0</v>
      </c>
      <c r="I608" s="11">
        <v>0</v>
      </c>
      <c r="J608" s="10">
        <f>TRUNC(I608*D608,2)</f>
        <v>0</v>
      </c>
      <c r="K608" s="11">
        <f t="shared" si="145"/>
        <v>67.599999999999994</v>
      </c>
      <c r="L608" s="10">
        <f t="shared" si="145"/>
        <v>67.599999999999994</v>
      </c>
      <c r="M608" s="5" t="s">
        <v>51</v>
      </c>
      <c r="N608" s="1" t="s">
        <v>533</v>
      </c>
      <c r="O608" s="1" t="s">
        <v>657</v>
      </c>
      <c r="P608" s="1" t="s">
        <v>60</v>
      </c>
      <c r="Q608" s="1" t="s">
        <v>60</v>
      </c>
      <c r="R608" s="1" t="s">
        <v>60</v>
      </c>
      <c r="S608">
        <v>0</v>
      </c>
      <c r="T608">
        <v>0</v>
      </c>
      <c r="U608">
        <v>0.02</v>
      </c>
      <c r="AV608" s="1" t="s">
        <v>51</v>
      </c>
      <c r="AW608" s="1" t="s">
        <v>1399</v>
      </c>
      <c r="AX608" s="1" t="s">
        <v>51</v>
      </c>
      <c r="AY608" s="1" t="s">
        <v>51</v>
      </c>
    </row>
    <row r="609" spans="1:51" ht="30" customHeight="1" x14ac:dyDescent="0.3">
      <c r="A609" s="5" t="s">
        <v>865</v>
      </c>
      <c r="B609" s="5" t="s">
        <v>751</v>
      </c>
      <c r="C609" s="5" t="s">
        <v>752</v>
      </c>
      <c r="D609" s="6">
        <f>공량산출근거서!K301</f>
        <v>2.9000000000000001E-2</v>
      </c>
      <c r="E609" s="11">
        <f>단가대비표!O171</f>
        <v>0</v>
      </c>
      <c r="F609" s="10">
        <f>TRUNC(E609*D609,2)</f>
        <v>0</v>
      </c>
      <c r="G609" s="11">
        <f>단가대비표!P171</f>
        <v>304156</v>
      </c>
      <c r="H609" s="10">
        <f>TRUNC(G609*D609,2)</f>
        <v>8820.52</v>
      </c>
      <c r="I609" s="11">
        <f>단가대비표!V171</f>
        <v>0</v>
      </c>
      <c r="J609" s="10">
        <f>TRUNC(I609*D609,2)</f>
        <v>0</v>
      </c>
      <c r="K609" s="11">
        <f t="shared" si="145"/>
        <v>304156</v>
      </c>
      <c r="L609" s="10">
        <f t="shared" si="145"/>
        <v>8820.52</v>
      </c>
      <c r="M609" s="5" t="s">
        <v>51</v>
      </c>
      <c r="N609" s="1" t="s">
        <v>533</v>
      </c>
      <c r="O609" s="1" t="s">
        <v>866</v>
      </c>
      <c r="P609" s="1" t="s">
        <v>60</v>
      </c>
      <c r="Q609" s="1" t="s">
        <v>60</v>
      </c>
      <c r="R609" s="1" t="s">
        <v>61</v>
      </c>
      <c r="W609">
        <v>2</v>
      </c>
      <c r="AV609" s="1" t="s">
        <v>51</v>
      </c>
      <c r="AW609" s="1" t="s">
        <v>1400</v>
      </c>
      <c r="AX609" s="1" t="s">
        <v>51</v>
      </c>
      <c r="AY609" s="1" t="s">
        <v>51</v>
      </c>
    </row>
    <row r="610" spans="1:51" ht="30" customHeight="1" x14ac:dyDescent="0.3">
      <c r="A610" s="5" t="s">
        <v>758</v>
      </c>
      <c r="B610" s="5" t="s">
        <v>759</v>
      </c>
      <c r="C610" s="5" t="s">
        <v>631</v>
      </c>
      <c r="D610" s="6">
        <v>1</v>
      </c>
      <c r="E610" s="11">
        <f>TRUNC(SUMIF(W606:W610, RIGHTB(O610, 1), H606:H610)*U610, 2)</f>
        <v>264.61</v>
      </c>
      <c r="F610" s="10">
        <f>TRUNC(E610*D610,2)</f>
        <v>264.61</v>
      </c>
      <c r="G610" s="11">
        <v>0</v>
      </c>
      <c r="H610" s="10">
        <f>TRUNC(G610*D610,2)</f>
        <v>0</v>
      </c>
      <c r="I610" s="11">
        <v>0</v>
      </c>
      <c r="J610" s="10">
        <f>TRUNC(I610*D610,2)</f>
        <v>0</v>
      </c>
      <c r="K610" s="11">
        <f t="shared" si="145"/>
        <v>264.61</v>
      </c>
      <c r="L610" s="10">
        <f t="shared" si="145"/>
        <v>264.61</v>
      </c>
      <c r="M610" s="5" t="s">
        <v>51</v>
      </c>
      <c r="N610" s="1" t="s">
        <v>533</v>
      </c>
      <c r="O610" s="1" t="s">
        <v>748</v>
      </c>
      <c r="P610" s="1" t="s">
        <v>60</v>
      </c>
      <c r="Q610" s="1" t="s">
        <v>60</v>
      </c>
      <c r="R610" s="1" t="s">
        <v>60</v>
      </c>
      <c r="S610">
        <v>1</v>
      </c>
      <c r="T610">
        <v>0</v>
      </c>
      <c r="U610">
        <v>0.03</v>
      </c>
      <c r="AV610" s="1" t="s">
        <v>51</v>
      </c>
      <c r="AW610" s="1" t="s">
        <v>1401</v>
      </c>
      <c r="AX610" s="1" t="s">
        <v>51</v>
      </c>
      <c r="AY610" s="1" t="s">
        <v>51</v>
      </c>
    </row>
    <row r="611" spans="1:51" ht="30" customHeight="1" x14ac:dyDescent="0.3">
      <c r="A611" s="5" t="s">
        <v>762</v>
      </c>
      <c r="B611" s="5" t="s">
        <v>51</v>
      </c>
      <c r="C611" s="5" t="s">
        <v>51</v>
      </c>
      <c r="D611" s="6"/>
      <c r="E611" s="11"/>
      <c r="F611" s="10">
        <f>TRUNC(SUMIF(N606:N610, N605, F606:F610),0)</f>
        <v>3881</v>
      </c>
      <c r="G611" s="11"/>
      <c r="H611" s="10">
        <f>TRUNC(SUMIF(N606:N610, N605, H606:H610),0)</f>
        <v>8820</v>
      </c>
      <c r="I611" s="11"/>
      <c r="J611" s="10">
        <f>TRUNC(SUMIF(N606:N610, N605, J606:J610),0)</f>
        <v>0</v>
      </c>
      <c r="K611" s="11"/>
      <c r="L611" s="10">
        <f>F611+H611+J611</f>
        <v>12701</v>
      </c>
      <c r="M611" s="5" t="s">
        <v>51</v>
      </c>
      <c r="N611" s="1" t="s">
        <v>208</v>
      </c>
      <c r="O611" s="1" t="s">
        <v>208</v>
      </c>
      <c r="P611" s="1" t="s">
        <v>51</v>
      </c>
      <c r="Q611" s="1" t="s">
        <v>51</v>
      </c>
      <c r="R611" s="1" t="s">
        <v>51</v>
      </c>
      <c r="AV611" s="1" t="s">
        <v>51</v>
      </c>
      <c r="AW611" s="1" t="s">
        <v>51</v>
      </c>
      <c r="AX611" s="1" t="s">
        <v>51</v>
      </c>
      <c r="AY611" s="1" t="s">
        <v>51</v>
      </c>
    </row>
    <row r="612" spans="1:51" ht="30" customHeight="1" x14ac:dyDescent="0.3">
      <c r="A612" s="6"/>
      <c r="B612" s="6"/>
      <c r="C612" s="6"/>
      <c r="D612" s="6"/>
      <c r="E612" s="11"/>
      <c r="F612" s="10"/>
      <c r="G612" s="11"/>
      <c r="H612" s="10"/>
      <c r="I612" s="11"/>
      <c r="J612" s="10"/>
      <c r="K612" s="11"/>
      <c r="L612" s="10"/>
      <c r="M612" s="6"/>
    </row>
    <row r="613" spans="1:51" ht="30" customHeight="1" x14ac:dyDescent="0.3">
      <c r="A613" s="37" t="s">
        <v>1402</v>
      </c>
      <c r="B613" s="37"/>
      <c r="C613" s="37"/>
      <c r="D613" s="37"/>
      <c r="E613" s="38"/>
      <c r="F613" s="39"/>
      <c r="G613" s="38"/>
      <c r="H613" s="39"/>
      <c r="I613" s="38"/>
      <c r="J613" s="39"/>
      <c r="K613" s="38"/>
      <c r="L613" s="39"/>
      <c r="M613" s="37"/>
      <c r="N613" s="1" t="s">
        <v>540</v>
      </c>
    </row>
    <row r="614" spans="1:51" ht="30" customHeight="1" x14ac:dyDescent="0.3">
      <c r="A614" s="5" t="s">
        <v>846</v>
      </c>
      <c r="B614" s="5" t="s">
        <v>1403</v>
      </c>
      <c r="C614" s="5" t="s">
        <v>65</v>
      </c>
      <c r="D614" s="6">
        <v>1</v>
      </c>
      <c r="E614" s="11">
        <f>단가대비표!O16</f>
        <v>921</v>
      </c>
      <c r="F614" s="10">
        <f>TRUNC(E614*D614,2)</f>
        <v>921</v>
      </c>
      <c r="G614" s="11">
        <f>단가대비표!P16</f>
        <v>0</v>
      </c>
      <c r="H614" s="10">
        <f>TRUNC(G614*D614,2)</f>
        <v>0</v>
      </c>
      <c r="I614" s="11">
        <f>단가대비표!V16</f>
        <v>0</v>
      </c>
      <c r="J614" s="10">
        <f>TRUNC(I614*D614,2)</f>
        <v>0</v>
      </c>
      <c r="K614" s="11">
        <f t="shared" ref="K614:L618" si="146">TRUNC(E614+G614+I614,2)</f>
        <v>921</v>
      </c>
      <c r="L614" s="10">
        <f t="shared" si="146"/>
        <v>921</v>
      </c>
      <c r="M614" s="5" t="s">
        <v>51</v>
      </c>
      <c r="N614" s="1" t="s">
        <v>540</v>
      </c>
      <c r="O614" s="1" t="s">
        <v>1404</v>
      </c>
      <c r="P614" s="1" t="s">
        <v>60</v>
      </c>
      <c r="Q614" s="1" t="s">
        <v>60</v>
      </c>
      <c r="R614" s="1" t="s">
        <v>61</v>
      </c>
      <c r="V614">
        <v>1</v>
      </c>
      <c r="AV614" s="1" t="s">
        <v>51</v>
      </c>
      <c r="AW614" s="1" t="s">
        <v>1405</v>
      </c>
      <c r="AX614" s="1" t="s">
        <v>51</v>
      </c>
      <c r="AY614" s="1" t="s">
        <v>51</v>
      </c>
    </row>
    <row r="615" spans="1:51" ht="30" customHeight="1" x14ac:dyDescent="0.3">
      <c r="A615" s="5" t="s">
        <v>846</v>
      </c>
      <c r="B615" s="5" t="s">
        <v>1403</v>
      </c>
      <c r="C615" s="5" t="s">
        <v>65</v>
      </c>
      <c r="D615" s="6">
        <v>0.1</v>
      </c>
      <c r="E615" s="11">
        <f>단가대비표!O16</f>
        <v>921</v>
      </c>
      <c r="F615" s="10">
        <f>TRUNC(E615*D615,2)</f>
        <v>92.1</v>
      </c>
      <c r="G615" s="11">
        <f>단가대비표!P16</f>
        <v>0</v>
      </c>
      <c r="H615" s="10">
        <f>TRUNC(G615*D615,2)</f>
        <v>0</v>
      </c>
      <c r="I615" s="11">
        <f>단가대비표!V16</f>
        <v>0</v>
      </c>
      <c r="J615" s="10">
        <f>TRUNC(I615*D615,2)</f>
        <v>0</v>
      </c>
      <c r="K615" s="11">
        <f t="shared" si="146"/>
        <v>921</v>
      </c>
      <c r="L615" s="10">
        <f t="shared" si="146"/>
        <v>92.1</v>
      </c>
      <c r="M615" s="5" t="s">
        <v>51</v>
      </c>
      <c r="N615" s="1" t="s">
        <v>540</v>
      </c>
      <c r="O615" s="1" t="s">
        <v>1404</v>
      </c>
      <c r="P615" s="1" t="s">
        <v>60</v>
      </c>
      <c r="Q615" s="1" t="s">
        <v>60</v>
      </c>
      <c r="R615" s="1" t="s">
        <v>61</v>
      </c>
      <c r="AV615" s="1" t="s">
        <v>51</v>
      </c>
      <c r="AW615" s="1" t="s">
        <v>1405</v>
      </c>
      <c r="AX615" s="1" t="s">
        <v>51</v>
      </c>
      <c r="AY615" s="1" t="s">
        <v>51</v>
      </c>
    </row>
    <row r="616" spans="1:51" ht="30" customHeight="1" x14ac:dyDescent="0.3">
      <c r="A616" s="5" t="s">
        <v>746</v>
      </c>
      <c r="B616" s="5" t="s">
        <v>786</v>
      </c>
      <c r="C616" s="5" t="s">
        <v>631</v>
      </c>
      <c r="D616" s="6">
        <v>1</v>
      </c>
      <c r="E616" s="11">
        <f>TRUNC(SUMIF(V614:V618, RIGHTB(O616, 1), F614:F618)*U616, 2)</f>
        <v>18.420000000000002</v>
      </c>
      <c r="F616" s="10">
        <f>TRUNC(E616*D616,2)</f>
        <v>18.420000000000002</v>
      </c>
      <c r="G616" s="11">
        <v>0</v>
      </c>
      <c r="H616" s="10">
        <f>TRUNC(G616*D616,2)</f>
        <v>0</v>
      </c>
      <c r="I616" s="11">
        <v>0</v>
      </c>
      <c r="J616" s="10">
        <f>TRUNC(I616*D616,2)</f>
        <v>0</v>
      </c>
      <c r="K616" s="11">
        <f t="shared" si="146"/>
        <v>18.420000000000002</v>
      </c>
      <c r="L616" s="10">
        <f t="shared" si="146"/>
        <v>18.420000000000002</v>
      </c>
      <c r="M616" s="5" t="s">
        <v>51</v>
      </c>
      <c r="N616" s="1" t="s">
        <v>540</v>
      </c>
      <c r="O616" s="1" t="s">
        <v>657</v>
      </c>
      <c r="P616" s="1" t="s">
        <v>60</v>
      </c>
      <c r="Q616" s="1" t="s">
        <v>60</v>
      </c>
      <c r="R616" s="1" t="s">
        <v>60</v>
      </c>
      <c r="S616">
        <v>0</v>
      </c>
      <c r="T616">
        <v>0</v>
      </c>
      <c r="U616">
        <v>0.02</v>
      </c>
      <c r="AV616" s="1" t="s">
        <v>51</v>
      </c>
      <c r="AW616" s="1" t="s">
        <v>1406</v>
      </c>
      <c r="AX616" s="1" t="s">
        <v>51</v>
      </c>
      <c r="AY616" s="1" t="s">
        <v>51</v>
      </c>
    </row>
    <row r="617" spans="1:51" ht="30" customHeight="1" x14ac:dyDescent="0.3">
      <c r="A617" s="5" t="s">
        <v>769</v>
      </c>
      <c r="B617" s="5" t="s">
        <v>751</v>
      </c>
      <c r="C617" s="5" t="s">
        <v>752</v>
      </c>
      <c r="D617" s="6">
        <f>공량산출근거서!K305</f>
        <v>8.9999999999999993E-3</v>
      </c>
      <c r="E617" s="11">
        <f>단가대비표!O169</f>
        <v>0</v>
      </c>
      <c r="F617" s="10">
        <f>TRUNC(E617*D617,2)</f>
        <v>0</v>
      </c>
      <c r="G617" s="11">
        <f>단가대비표!P169</f>
        <v>273676</v>
      </c>
      <c r="H617" s="10">
        <f>TRUNC(G617*D617,2)</f>
        <v>2463.08</v>
      </c>
      <c r="I617" s="11">
        <f>단가대비표!V169</f>
        <v>0</v>
      </c>
      <c r="J617" s="10">
        <f>TRUNC(I617*D617,2)</f>
        <v>0</v>
      </c>
      <c r="K617" s="11">
        <f t="shared" si="146"/>
        <v>273676</v>
      </c>
      <c r="L617" s="10">
        <f t="shared" si="146"/>
        <v>2463.08</v>
      </c>
      <c r="M617" s="5" t="s">
        <v>51</v>
      </c>
      <c r="N617" s="1" t="s">
        <v>540</v>
      </c>
      <c r="O617" s="1" t="s">
        <v>770</v>
      </c>
      <c r="P617" s="1" t="s">
        <v>60</v>
      </c>
      <c r="Q617" s="1" t="s">
        <v>60</v>
      </c>
      <c r="R617" s="1" t="s">
        <v>61</v>
      </c>
      <c r="W617">
        <v>2</v>
      </c>
      <c r="AV617" s="1" t="s">
        <v>51</v>
      </c>
      <c r="AW617" s="1" t="s">
        <v>1407</v>
      </c>
      <c r="AX617" s="1" t="s">
        <v>51</v>
      </c>
      <c r="AY617" s="1" t="s">
        <v>51</v>
      </c>
    </row>
    <row r="618" spans="1:51" ht="30" customHeight="1" x14ac:dyDescent="0.3">
      <c r="A618" s="5" t="s">
        <v>758</v>
      </c>
      <c r="B618" s="5" t="s">
        <v>759</v>
      </c>
      <c r="C618" s="5" t="s">
        <v>631</v>
      </c>
      <c r="D618" s="6">
        <v>1</v>
      </c>
      <c r="E618" s="11">
        <f>TRUNC(SUMIF(W614:W618, RIGHTB(O618, 1), H614:H618)*U618, 2)</f>
        <v>73.89</v>
      </c>
      <c r="F618" s="10">
        <f>TRUNC(E618*D618,2)</f>
        <v>73.89</v>
      </c>
      <c r="G618" s="11">
        <v>0</v>
      </c>
      <c r="H618" s="10">
        <f>TRUNC(G618*D618,2)</f>
        <v>0</v>
      </c>
      <c r="I618" s="11">
        <v>0</v>
      </c>
      <c r="J618" s="10">
        <f>TRUNC(I618*D618,2)</f>
        <v>0</v>
      </c>
      <c r="K618" s="11">
        <f t="shared" si="146"/>
        <v>73.89</v>
      </c>
      <c r="L618" s="10">
        <f t="shared" si="146"/>
        <v>73.89</v>
      </c>
      <c r="M618" s="5" t="s">
        <v>51</v>
      </c>
      <c r="N618" s="1" t="s">
        <v>540</v>
      </c>
      <c r="O618" s="1" t="s">
        <v>748</v>
      </c>
      <c r="P618" s="1" t="s">
        <v>60</v>
      </c>
      <c r="Q618" s="1" t="s">
        <v>60</v>
      </c>
      <c r="R618" s="1" t="s">
        <v>60</v>
      </c>
      <c r="S618">
        <v>1</v>
      </c>
      <c r="T618">
        <v>0</v>
      </c>
      <c r="U618">
        <v>0.03</v>
      </c>
      <c r="AV618" s="1" t="s">
        <v>51</v>
      </c>
      <c r="AW618" s="1" t="s">
        <v>1408</v>
      </c>
      <c r="AX618" s="1" t="s">
        <v>51</v>
      </c>
      <c r="AY618" s="1" t="s">
        <v>51</v>
      </c>
    </row>
    <row r="619" spans="1:51" ht="30" customHeight="1" x14ac:dyDescent="0.3">
      <c r="A619" s="5" t="s">
        <v>762</v>
      </c>
      <c r="B619" s="5" t="s">
        <v>51</v>
      </c>
      <c r="C619" s="5" t="s">
        <v>51</v>
      </c>
      <c r="D619" s="6"/>
      <c r="E619" s="11"/>
      <c r="F619" s="10">
        <f>TRUNC(SUMIF(N614:N618, N613, F614:F618),0)</f>
        <v>1105</v>
      </c>
      <c r="G619" s="11"/>
      <c r="H619" s="10">
        <f>TRUNC(SUMIF(N614:N618, N613, H614:H618),0)</f>
        <v>2463</v>
      </c>
      <c r="I619" s="11"/>
      <c r="J619" s="10">
        <f>TRUNC(SUMIF(N614:N618, N613, J614:J618),0)</f>
        <v>0</v>
      </c>
      <c r="K619" s="11"/>
      <c r="L619" s="10">
        <f>F619+H619+J619</f>
        <v>3568</v>
      </c>
      <c r="M619" s="5" t="s">
        <v>51</v>
      </c>
      <c r="N619" s="1" t="s">
        <v>208</v>
      </c>
      <c r="O619" s="1" t="s">
        <v>208</v>
      </c>
      <c r="P619" s="1" t="s">
        <v>51</v>
      </c>
      <c r="Q619" s="1" t="s">
        <v>51</v>
      </c>
      <c r="R619" s="1" t="s">
        <v>51</v>
      </c>
      <c r="AV619" s="1" t="s">
        <v>51</v>
      </c>
      <c r="AW619" s="1" t="s">
        <v>51</v>
      </c>
      <c r="AX619" s="1" t="s">
        <v>51</v>
      </c>
      <c r="AY619" s="1" t="s">
        <v>51</v>
      </c>
    </row>
    <row r="620" spans="1:51" ht="30" customHeight="1" x14ac:dyDescent="0.3">
      <c r="A620" s="6"/>
      <c r="B620" s="6"/>
      <c r="C620" s="6"/>
      <c r="D620" s="6"/>
      <c r="E620" s="11"/>
      <c r="F620" s="10"/>
      <c r="G620" s="11"/>
      <c r="H620" s="10"/>
      <c r="I620" s="11"/>
      <c r="J620" s="10"/>
      <c r="K620" s="11"/>
      <c r="L620" s="10"/>
      <c r="M620" s="6"/>
    </row>
    <row r="621" spans="1:51" ht="30" customHeight="1" x14ac:dyDescent="0.3">
      <c r="A621" s="37" t="s">
        <v>1409</v>
      </c>
      <c r="B621" s="37"/>
      <c r="C621" s="37"/>
      <c r="D621" s="37"/>
      <c r="E621" s="38"/>
      <c r="F621" s="39"/>
      <c r="G621" s="38"/>
      <c r="H621" s="39"/>
      <c r="I621" s="38"/>
      <c r="J621" s="39"/>
      <c r="K621" s="38"/>
      <c r="L621" s="39"/>
      <c r="M621" s="37"/>
      <c r="N621" s="1" t="s">
        <v>554</v>
      </c>
    </row>
    <row r="622" spans="1:51" ht="30" customHeight="1" x14ac:dyDescent="0.3">
      <c r="A622" s="5" t="s">
        <v>551</v>
      </c>
      <c r="B622" s="5" t="s">
        <v>1410</v>
      </c>
      <c r="C622" s="5" t="s">
        <v>65</v>
      </c>
      <c r="D622" s="6">
        <v>1.05</v>
      </c>
      <c r="E622" s="11">
        <f>단가대비표!O116</f>
        <v>16750</v>
      </c>
      <c r="F622" s="10">
        <f>TRUNC(E622*D622,2)</f>
        <v>17587.5</v>
      </c>
      <c r="G622" s="11">
        <f>단가대비표!P116</f>
        <v>0</v>
      </c>
      <c r="H622" s="10">
        <f>TRUNC(G622*D622,2)</f>
        <v>0</v>
      </c>
      <c r="I622" s="11">
        <f>단가대비표!V116</f>
        <v>0</v>
      </c>
      <c r="J622" s="10">
        <f>TRUNC(I622*D622,2)</f>
        <v>0</v>
      </c>
      <c r="K622" s="11">
        <f t="shared" ref="K622:L624" si="147">TRUNC(E622+G622+I622,2)</f>
        <v>16750</v>
      </c>
      <c r="L622" s="10">
        <f t="shared" si="147"/>
        <v>17587.5</v>
      </c>
      <c r="M622" s="5" t="s">
        <v>51</v>
      </c>
      <c r="N622" s="1" t="s">
        <v>554</v>
      </c>
      <c r="O622" s="1" t="s">
        <v>1411</v>
      </c>
      <c r="P622" s="1" t="s">
        <v>60</v>
      </c>
      <c r="Q622" s="1" t="s">
        <v>60</v>
      </c>
      <c r="R622" s="1" t="s">
        <v>61</v>
      </c>
      <c r="AV622" s="1" t="s">
        <v>51</v>
      </c>
      <c r="AW622" s="1" t="s">
        <v>1412</v>
      </c>
      <c r="AX622" s="1" t="s">
        <v>51</v>
      </c>
      <c r="AY622" s="1" t="s">
        <v>51</v>
      </c>
    </row>
    <row r="623" spans="1:51" ht="30" customHeight="1" x14ac:dyDescent="0.3">
      <c r="A623" s="5" t="s">
        <v>769</v>
      </c>
      <c r="B623" s="5" t="s">
        <v>751</v>
      </c>
      <c r="C623" s="5" t="s">
        <v>752</v>
      </c>
      <c r="D623" s="6">
        <v>0.48</v>
      </c>
      <c r="E623" s="11">
        <f>단가대비표!O169</f>
        <v>0</v>
      </c>
      <c r="F623" s="10">
        <f>TRUNC(E623*D623,2)</f>
        <v>0</v>
      </c>
      <c r="G623" s="11">
        <f>단가대비표!P169</f>
        <v>273676</v>
      </c>
      <c r="H623" s="10">
        <f>TRUNC(G623*D623,2)</f>
        <v>131364.48000000001</v>
      </c>
      <c r="I623" s="11">
        <f>단가대비표!V169</f>
        <v>0</v>
      </c>
      <c r="J623" s="10">
        <f>TRUNC(I623*D623,2)</f>
        <v>0</v>
      </c>
      <c r="K623" s="11">
        <f t="shared" si="147"/>
        <v>273676</v>
      </c>
      <c r="L623" s="10">
        <f t="shared" si="147"/>
        <v>131364.48000000001</v>
      </c>
      <c r="M623" s="5" t="s">
        <v>51</v>
      </c>
      <c r="N623" s="1" t="s">
        <v>554</v>
      </c>
      <c r="O623" s="1" t="s">
        <v>770</v>
      </c>
      <c r="P623" s="1" t="s">
        <v>60</v>
      </c>
      <c r="Q623" s="1" t="s">
        <v>60</v>
      </c>
      <c r="R623" s="1" t="s">
        <v>61</v>
      </c>
      <c r="V623">
        <v>1</v>
      </c>
      <c r="AV623" s="1" t="s">
        <v>51</v>
      </c>
      <c r="AW623" s="1" t="s">
        <v>1413</v>
      </c>
      <c r="AX623" s="1" t="s">
        <v>51</v>
      </c>
      <c r="AY623" s="1" t="s">
        <v>51</v>
      </c>
    </row>
    <row r="624" spans="1:51" ht="30" customHeight="1" x14ac:dyDescent="0.3">
      <c r="A624" s="5" t="s">
        <v>758</v>
      </c>
      <c r="B624" s="5" t="s">
        <v>759</v>
      </c>
      <c r="C624" s="5" t="s">
        <v>631</v>
      </c>
      <c r="D624" s="6">
        <v>1</v>
      </c>
      <c r="E624" s="11">
        <f>TRUNC(SUMIF(V622:V624, RIGHTB(O624, 1), H622:H624)*U624, 2)</f>
        <v>3940.93</v>
      </c>
      <c r="F624" s="10">
        <f>TRUNC(E624*D624,2)</f>
        <v>3940.93</v>
      </c>
      <c r="G624" s="11">
        <v>0</v>
      </c>
      <c r="H624" s="10">
        <f>TRUNC(G624*D624,2)</f>
        <v>0</v>
      </c>
      <c r="I624" s="11">
        <v>0</v>
      </c>
      <c r="J624" s="10">
        <f>TRUNC(I624*D624,2)</f>
        <v>0</v>
      </c>
      <c r="K624" s="11">
        <f t="shared" si="147"/>
        <v>3940.93</v>
      </c>
      <c r="L624" s="10">
        <f t="shared" si="147"/>
        <v>3940.93</v>
      </c>
      <c r="M624" s="5" t="s">
        <v>51</v>
      </c>
      <c r="N624" s="1" t="s">
        <v>554</v>
      </c>
      <c r="O624" s="1" t="s">
        <v>657</v>
      </c>
      <c r="P624" s="1" t="s">
        <v>60</v>
      </c>
      <c r="Q624" s="1" t="s">
        <v>60</v>
      </c>
      <c r="R624" s="1" t="s">
        <v>60</v>
      </c>
      <c r="S624">
        <v>1</v>
      </c>
      <c r="T624">
        <v>0</v>
      </c>
      <c r="U624">
        <v>0.03</v>
      </c>
      <c r="AV624" s="1" t="s">
        <v>51</v>
      </c>
      <c r="AW624" s="1" t="s">
        <v>1414</v>
      </c>
      <c r="AX624" s="1" t="s">
        <v>51</v>
      </c>
      <c r="AY624" s="1" t="s">
        <v>51</v>
      </c>
    </row>
    <row r="625" spans="1:51" ht="30" customHeight="1" x14ac:dyDescent="0.3">
      <c r="A625" s="5" t="s">
        <v>762</v>
      </c>
      <c r="B625" s="5" t="s">
        <v>51</v>
      </c>
      <c r="C625" s="5" t="s">
        <v>51</v>
      </c>
      <c r="D625" s="6"/>
      <c r="E625" s="11"/>
      <c r="F625" s="10">
        <f>TRUNC(SUMIF(N622:N624, N621, F622:F624),0)</f>
        <v>21528</v>
      </c>
      <c r="G625" s="11"/>
      <c r="H625" s="10">
        <f>TRUNC(SUMIF(N622:N624, N621, H622:H624),0)</f>
        <v>131364</v>
      </c>
      <c r="I625" s="11"/>
      <c r="J625" s="10">
        <f>TRUNC(SUMIF(N622:N624, N621, J622:J624),0)</f>
        <v>0</v>
      </c>
      <c r="K625" s="11"/>
      <c r="L625" s="10">
        <f>F625+H625+J625</f>
        <v>152892</v>
      </c>
      <c r="M625" s="5" t="s">
        <v>51</v>
      </c>
      <c r="N625" s="1" t="s">
        <v>208</v>
      </c>
      <c r="O625" s="1" t="s">
        <v>208</v>
      </c>
      <c r="P625" s="1" t="s">
        <v>51</v>
      </c>
      <c r="Q625" s="1" t="s">
        <v>51</v>
      </c>
      <c r="R625" s="1" t="s">
        <v>51</v>
      </c>
      <c r="AV625" s="1" t="s">
        <v>51</v>
      </c>
      <c r="AW625" s="1" t="s">
        <v>51</v>
      </c>
      <c r="AX625" s="1" t="s">
        <v>51</v>
      </c>
      <c r="AY625" s="1" t="s">
        <v>51</v>
      </c>
    </row>
    <row r="626" spans="1:51" ht="30" customHeight="1" x14ac:dyDescent="0.3">
      <c r="A626" s="6"/>
      <c r="B626" s="6"/>
      <c r="C626" s="6"/>
      <c r="D626" s="6"/>
      <c r="E626" s="11"/>
      <c r="F626" s="10"/>
      <c r="G626" s="11"/>
      <c r="H626" s="10"/>
      <c r="I626" s="11"/>
      <c r="J626" s="10"/>
      <c r="K626" s="11"/>
      <c r="L626" s="10"/>
      <c r="M626" s="6"/>
    </row>
    <row r="627" spans="1:51" ht="30" customHeight="1" x14ac:dyDescent="0.3">
      <c r="A627" s="37" t="s">
        <v>1415</v>
      </c>
      <c r="B627" s="37"/>
      <c r="C627" s="37"/>
      <c r="D627" s="37"/>
      <c r="E627" s="38"/>
      <c r="F627" s="39"/>
      <c r="G627" s="38"/>
      <c r="H627" s="39"/>
      <c r="I627" s="38"/>
      <c r="J627" s="39"/>
      <c r="K627" s="38"/>
      <c r="L627" s="39"/>
      <c r="M627" s="37"/>
      <c r="N627" s="1" t="s">
        <v>559</v>
      </c>
    </row>
    <row r="628" spans="1:51" ht="30" customHeight="1" x14ac:dyDescent="0.3">
      <c r="A628" s="5" t="s">
        <v>1416</v>
      </c>
      <c r="B628" s="5" t="s">
        <v>1417</v>
      </c>
      <c r="C628" s="5" t="s">
        <v>1260</v>
      </c>
      <c r="D628" s="6">
        <v>0.2</v>
      </c>
      <c r="E628" s="11">
        <f>단가대비표!O14</f>
        <v>9282</v>
      </c>
      <c r="F628" s="10">
        <f>TRUNC(E628*D628,2)</f>
        <v>1856.4</v>
      </c>
      <c r="G628" s="11">
        <f>단가대비표!P14</f>
        <v>0</v>
      </c>
      <c r="H628" s="10">
        <f>TRUNC(G628*D628,2)</f>
        <v>0</v>
      </c>
      <c r="I628" s="11">
        <f>단가대비표!V14</f>
        <v>0</v>
      </c>
      <c r="J628" s="10">
        <f>TRUNC(I628*D628,2)</f>
        <v>0</v>
      </c>
      <c r="K628" s="11">
        <f t="shared" ref="K628:L632" si="148">TRUNC(E628+G628+I628,2)</f>
        <v>9282</v>
      </c>
      <c r="L628" s="10">
        <f t="shared" si="148"/>
        <v>1856.4</v>
      </c>
      <c r="M628" s="5" t="s">
        <v>51</v>
      </c>
      <c r="N628" s="1" t="s">
        <v>559</v>
      </c>
      <c r="O628" s="1" t="s">
        <v>1418</v>
      </c>
      <c r="P628" s="1" t="s">
        <v>60</v>
      </c>
      <c r="Q628" s="1" t="s">
        <v>60</v>
      </c>
      <c r="R628" s="1" t="s">
        <v>61</v>
      </c>
      <c r="AV628" s="1" t="s">
        <v>51</v>
      </c>
      <c r="AW628" s="1" t="s">
        <v>1419</v>
      </c>
      <c r="AX628" s="1" t="s">
        <v>51</v>
      </c>
      <c r="AY628" s="1" t="s">
        <v>51</v>
      </c>
    </row>
    <row r="629" spans="1:51" ht="30" customHeight="1" x14ac:dyDescent="0.3">
      <c r="A629" s="5" t="s">
        <v>1420</v>
      </c>
      <c r="B629" s="5" t="s">
        <v>1421</v>
      </c>
      <c r="C629" s="5" t="s">
        <v>1422</v>
      </c>
      <c r="D629" s="6">
        <v>4.2</v>
      </c>
      <c r="E629" s="11">
        <f>단가대비표!O42</f>
        <v>1010</v>
      </c>
      <c r="F629" s="10">
        <f>TRUNC(E629*D629,2)</f>
        <v>4242</v>
      </c>
      <c r="G629" s="11">
        <f>단가대비표!P42</f>
        <v>0</v>
      </c>
      <c r="H629" s="10">
        <f>TRUNC(G629*D629,2)</f>
        <v>0</v>
      </c>
      <c r="I629" s="11">
        <f>단가대비표!V42</f>
        <v>0</v>
      </c>
      <c r="J629" s="10">
        <f>TRUNC(I629*D629,2)</f>
        <v>0</v>
      </c>
      <c r="K629" s="11">
        <f t="shared" si="148"/>
        <v>1010</v>
      </c>
      <c r="L629" s="10">
        <f t="shared" si="148"/>
        <v>4242</v>
      </c>
      <c r="M629" s="5" t="s">
        <v>51</v>
      </c>
      <c r="N629" s="1" t="s">
        <v>559</v>
      </c>
      <c r="O629" s="1" t="s">
        <v>1423</v>
      </c>
      <c r="P629" s="1" t="s">
        <v>60</v>
      </c>
      <c r="Q629" s="1" t="s">
        <v>60</v>
      </c>
      <c r="R629" s="1" t="s">
        <v>61</v>
      </c>
      <c r="V629">
        <v>1</v>
      </c>
      <c r="AV629" s="1" t="s">
        <v>51</v>
      </c>
      <c r="AW629" s="1" t="s">
        <v>1424</v>
      </c>
      <c r="AX629" s="1" t="s">
        <v>51</v>
      </c>
      <c r="AY629" s="1" t="s">
        <v>51</v>
      </c>
    </row>
    <row r="630" spans="1:51" ht="30" customHeight="1" x14ac:dyDescent="0.3">
      <c r="A630" s="5" t="s">
        <v>1425</v>
      </c>
      <c r="B630" s="5" t="s">
        <v>1426</v>
      </c>
      <c r="C630" s="5" t="s">
        <v>88</v>
      </c>
      <c r="D630" s="6">
        <v>4.0000000000000001E-3</v>
      </c>
      <c r="E630" s="11">
        <f>일위대가목록!E95</f>
        <v>94073</v>
      </c>
      <c r="F630" s="10">
        <f>TRUNC(E630*D630,2)</f>
        <v>376.29</v>
      </c>
      <c r="G630" s="11">
        <f>일위대가목록!F95</f>
        <v>373604</v>
      </c>
      <c r="H630" s="10">
        <f>TRUNC(G630*D630,2)</f>
        <v>1494.41</v>
      </c>
      <c r="I630" s="11">
        <f>일위대가목록!G95</f>
        <v>0</v>
      </c>
      <c r="J630" s="10">
        <f>TRUNC(I630*D630,2)</f>
        <v>0</v>
      </c>
      <c r="K630" s="11">
        <f t="shared" si="148"/>
        <v>467677</v>
      </c>
      <c r="L630" s="10">
        <f t="shared" si="148"/>
        <v>1870.7</v>
      </c>
      <c r="M630" s="5" t="s">
        <v>1427</v>
      </c>
      <c r="N630" s="1" t="s">
        <v>559</v>
      </c>
      <c r="O630" s="1" t="s">
        <v>1428</v>
      </c>
      <c r="P630" s="1" t="s">
        <v>61</v>
      </c>
      <c r="Q630" s="1" t="s">
        <v>60</v>
      </c>
      <c r="R630" s="1" t="s">
        <v>60</v>
      </c>
      <c r="AV630" s="1" t="s">
        <v>51</v>
      </c>
      <c r="AW630" s="1" t="s">
        <v>1429</v>
      </c>
      <c r="AX630" s="1" t="s">
        <v>51</v>
      </c>
      <c r="AY630" s="1" t="s">
        <v>51</v>
      </c>
    </row>
    <row r="631" spans="1:51" ht="30" customHeight="1" x14ac:dyDescent="0.3">
      <c r="A631" s="5" t="s">
        <v>1430</v>
      </c>
      <c r="B631" s="5" t="s">
        <v>1431</v>
      </c>
      <c r="C631" s="5" t="s">
        <v>1432</v>
      </c>
      <c r="D631" s="6">
        <v>2</v>
      </c>
      <c r="E631" s="11">
        <f>단가대비표!O15</f>
        <v>27297</v>
      </c>
      <c r="F631" s="10">
        <f>TRUNC(E631*D631,2)</f>
        <v>54594</v>
      </c>
      <c r="G631" s="11">
        <f>단가대비표!P15</f>
        <v>3700</v>
      </c>
      <c r="H631" s="10">
        <f>TRUNC(G631*D631,2)</f>
        <v>7400</v>
      </c>
      <c r="I631" s="11">
        <f>단가대비표!V15</f>
        <v>0</v>
      </c>
      <c r="J631" s="10">
        <f>TRUNC(I631*D631,2)</f>
        <v>0</v>
      </c>
      <c r="K631" s="11">
        <f t="shared" si="148"/>
        <v>30997</v>
      </c>
      <c r="L631" s="10">
        <f t="shared" si="148"/>
        <v>61994</v>
      </c>
      <c r="M631" s="5" t="s">
        <v>51</v>
      </c>
      <c r="N631" s="1" t="s">
        <v>559</v>
      </c>
      <c r="O631" s="1" t="s">
        <v>1433</v>
      </c>
      <c r="P631" s="1" t="s">
        <v>60</v>
      </c>
      <c r="Q631" s="1" t="s">
        <v>60</v>
      </c>
      <c r="R631" s="1" t="s">
        <v>61</v>
      </c>
      <c r="V631">
        <v>1</v>
      </c>
      <c r="AV631" s="1" t="s">
        <v>51</v>
      </c>
      <c r="AW631" s="1" t="s">
        <v>1434</v>
      </c>
      <c r="AX631" s="1" t="s">
        <v>51</v>
      </c>
      <c r="AY631" s="1" t="s">
        <v>51</v>
      </c>
    </row>
    <row r="632" spans="1:51" ht="30" customHeight="1" x14ac:dyDescent="0.3">
      <c r="A632" s="5" t="s">
        <v>758</v>
      </c>
      <c r="B632" s="5" t="s">
        <v>1435</v>
      </c>
      <c r="C632" s="5" t="s">
        <v>631</v>
      </c>
      <c r="D632" s="6">
        <v>1</v>
      </c>
      <c r="E632" s="11">
        <f>TRUNC(SUMIF(V628:V632, RIGHTB(O632, 1), F628:F632)*U632, 2)</f>
        <v>1765.08</v>
      </c>
      <c r="F632" s="10">
        <f>TRUNC(E632*D632,2)</f>
        <v>1765.08</v>
      </c>
      <c r="G632" s="11">
        <v>0</v>
      </c>
      <c r="H632" s="10">
        <f>TRUNC(G632*D632,2)</f>
        <v>0</v>
      </c>
      <c r="I632" s="11">
        <v>0</v>
      </c>
      <c r="J632" s="10">
        <f>TRUNC(I632*D632,2)</f>
        <v>0</v>
      </c>
      <c r="K632" s="11">
        <f t="shared" si="148"/>
        <v>1765.08</v>
      </c>
      <c r="L632" s="10">
        <f t="shared" si="148"/>
        <v>1765.08</v>
      </c>
      <c r="M632" s="5" t="s">
        <v>51</v>
      </c>
      <c r="N632" s="1" t="s">
        <v>559</v>
      </c>
      <c r="O632" s="1" t="s">
        <v>657</v>
      </c>
      <c r="P632" s="1" t="s">
        <v>60</v>
      </c>
      <c r="Q632" s="1" t="s">
        <v>60</v>
      </c>
      <c r="R632" s="1" t="s">
        <v>60</v>
      </c>
      <c r="S632">
        <v>0</v>
      </c>
      <c r="T632">
        <v>0</v>
      </c>
      <c r="U632">
        <v>0.03</v>
      </c>
      <c r="AV632" s="1" t="s">
        <v>51</v>
      </c>
      <c r="AW632" s="1" t="s">
        <v>1436</v>
      </c>
      <c r="AX632" s="1" t="s">
        <v>51</v>
      </c>
      <c r="AY632" s="1" t="s">
        <v>51</v>
      </c>
    </row>
    <row r="633" spans="1:51" ht="30" customHeight="1" x14ac:dyDescent="0.3">
      <c r="A633" s="5" t="s">
        <v>762</v>
      </c>
      <c r="B633" s="5" t="s">
        <v>51</v>
      </c>
      <c r="C633" s="5" t="s">
        <v>51</v>
      </c>
      <c r="D633" s="6"/>
      <c r="E633" s="11"/>
      <c r="F633" s="10">
        <f>TRUNC(SUMIF(N628:N632, N627, F628:F632),0)</f>
        <v>62833</v>
      </c>
      <c r="G633" s="11"/>
      <c r="H633" s="10">
        <f>TRUNC(SUMIF(N628:N632, N627, H628:H632),0)</f>
        <v>8894</v>
      </c>
      <c r="I633" s="11"/>
      <c r="J633" s="10">
        <f>TRUNC(SUMIF(N628:N632, N627, J628:J632),0)</f>
        <v>0</v>
      </c>
      <c r="K633" s="11"/>
      <c r="L633" s="10">
        <f>F633+H633+J633</f>
        <v>71727</v>
      </c>
      <c r="M633" s="5" t="s">
        <v>51</v>
      </c>
      <c r="N633" s="1" t="s">
        <v>208</v>
      </c>
      <c r="O633" s="1" t="s">
        <v>208</v>
      </c>
      <c r="P633" s="1" t="s">
        <v>51</v>
      </c>
      <c r="Q633" s="1" t="s">
        <v>51</v>
      </c>
      <c r="R633" s="1" t="s">
        <v>51</v>
      </c>
      <c r="AV633" s="1" t="s">
        <v>51</v>
      </c>
      <c r="AW633" s="1" t="s">
        <v>51</v>
      </c>
      <c r="AX633" s="1" t="s">
        <v>51</v>
      </c>
      <c r="AY633" s="1" t="s">
        <v>51</v>
      </c>
    </row>
    <row r="634" spans="1:51" ht="30" customHeight="1" x14ac:dyDescent="0.3">
      <c r="A634" s="6"/>
      <c r="B634" s="6"/>
      <c r="C634" s="6"/>
      <c r="D634" s="6"/>
      <c r="E634" s="11"/>
      <c r="F634" s="10"/>
      <c r="G634" s="11"/>
      <c r="H634" s="10"/>
      <c r="I634" s="11"/>
      <c r="J634" s="10"/>
      <c r="K634" s="11"/>
      <c r="L634" s="10"/>
      <c r="M634" s="6"/>
    </row>
    <row r="635" spans="1:51" ht="30" customHeight="1" x14ac:dyDescent="0.3">
      <c r="A635" s="37" t="s">
        <v>1437</v>
      </c>
      <c r="B635" s="37"/>
      <c r="C635" s="37"/>
      <c r="D635" s="37"/>
      <c r="E635" s="38"/>
      <c r="F635" s="39"/>
      <c r="G635" s="38"/>
      <c r="H635" s="39"/>
      <c r="I635" s="38"/>
      <c r="J635" s="39"/>
      <c r="K635" s="38"/>
      <c r="L635" s="39"/>
      <c r="M635" s="37"/>
      <c r="N635" s="1" t="s">
        <v>575</v>
      </c>
    </row>
    <row r="636" spans="1:51" ht="30" customHeight="1" x14ac:dyDescent="0.3">
      <c r="A636" s="5" t="s">
        <v>551</v>
      </c>
      <c r="B636" s="5" t="s">
        <v>1438</v>
      </c>
      <c r="C636" s="5" t="s">
        <v>65</v>
      </c>
      <c r="D636" s="6">
        <v>1.05</v>
      </c>
      <c r="E636" s="11">
        <f>단가대비표!O115</f>
        <v>12650</v>
      </c>
      <c r="F636" s="10">
        <f>TRUNC(E636*D636,2)</f>
        <v>13282.5</v>
      </c>
      <c r="G636" s="11">
        <f>단가대비표!P115</f>
        <v>0</v>
      </c>
      <c r="H636" s="10">
        <f>TRUNC(G636*D636,2)</f>
        <v>0</v>
      </c>
      <c r="I636" s="11">
        <f>단가대비표!V115</f>
        <v>0</v>
      </c>
      <c r="J636" s="10">
        <f>TRUNC(I636*D636,2)</f>
        <v>0</v>
      </c>
      <c r="K636" s="11">
        <f t="shared" ref="K636:L638" si="149">TRUNC(E636+G636+I636,2)</f>
        <v>12650</v>
      </c>
      <c r="L636" s="10">
        <f t="shared" si="149"/>
        <v>13282.5</v>
      </c>
      <c r="M636" s="5" t="s">
        <v>51</v>
      </c>
      <c r="N636" s="1" t="s">
        <v>575</v>
      </c>
      <c r="O636" s="1" t="s">
        <v>1439</v>
      </c>
      <c r="P636" s="1" t="s">
        <v>60</v>
      </c>
      <c r="Q636" s="1" t="s">
        <v>60</v>
      </c>
      <c r="R636" s="1" t="s">
        <v>61</v>
      </c>
      <c r="AV636" s="1" t="s">
        <v>51</v>
      </c>
      <c r="AW636" s="1" t="s">
        <v>1440</v>
      </c>
      <c r="AX636" s="1" t="s">
        <v>51</v>
      </c>
      <c r="AY636" s="1" t="s">
        <v>51</v>
      </c>
    </row>
    <row r="637" spans="1:51" ht="30" customHeight="1" x14ac:dyDescent="0.3">
      <c r="A637" s="5" t="s">
        <v>769</v>
      </c>
      <c r="B637" s="5" t="s">
        <v>751</v>
      </c>
      <c r="C637" s="5" t="s">
        <v>752</v>
      </c>
      <c r="D637" s="6">
        <f>공량산출근거서!K308</f>
        <v>0.20699999999999999</v>
      </c>
      <c r="E637" s="11">
        <f>단가대비표!O169</f>
        <v>0</v>
      </c>
      <c r="F637" s="10">
        <f>TRUNC(E637*D637,2)</f>
        <v>0</v>
      </c>
      <c r="G637" s="11">
        <f>단가대비표!P169</f>
        <v>273676</v>
      </c>
      <c r="H637" s="10">
        <f>TRUNC(G637*D637,2)</f>
        <v>56650.93</v>
      </c>
      <c r="I637" s="11">
        <f>단가대비표!V169</f>
        <v>0</v>
      </c>
      <c r="J637" s="10">
        <f>TRUNC(I637*D637,2)</f>
        <v>0</v>
      </c>
      <c r="K637" s="11">
        <f t="shared" si="149"/>
        <v>273676</v>
      </c>
      <c r="L637" s="10">
        <f t="shared" si="149"/>
        <v>56650.93</v>
      </c>
      <c r="M637" s="5" t="s">
        <v>51</v>
      </c>
      <c r="N637" s="1" t="s">
        <v>575</v>
      </c>
      <c r="O637" s="1" t="s">
        <v>770</v>
      </c>
      <c r="P637" s="1" t="s">
        <v>60</v>
      </c>
      <c r="Q637" s="1" t="s">
        <v>60</v>
      </c>
      <c r="R637" s="1" t="s">
        <v>61</v>
      </c>
      <c r="V637">
        <v>1</v>
      </c>
      <c r="AV637" s="1" t="s">
        <v>51</v>
      </c>
      <c r="AW637" s="1" t="s">
        <v>1441</v>
      </c>
      <c r="AX637" s="1" t="s">
        <v>51</v>
      </c>
      <c r="AY637" s="1" t="s">
        <v>51</v>
      </c>
    </row>
    <row r="638" spans="1:51" ht="30" customHeight="1" x14ac:dyDescent="0.3">
      <c r="A638" s="5" t="s">
        <v>758</v>
      </c>
      <c r="B638" s="5" t="s">
        <v>759</v>
      </c>
      <c r="C638" s="5" t="s">
        <v>631</v>
      </c>
      <c r="D638" s="6">
        <v>1</v>
      </c>
      <c r="E638" s="11">
        <f>TRUNC(SUMIF(V636:V638, RIGHTB(O638, 1), H636:H638)*U638, 2)</f>
        <v>1699.52</v>
      </c>
      <c r="F638" s="10">
        <f>TRUNC(E638*D638,2)</f>
        <v>1699.52</v>
      </c>
      <c r="G638" s="11">
        <v>0</v>
      </c>
      <c r="H638" s="10">
        <f>TRUNC(G638*D638,2)</f>
        <v>0</v>
      </c>
      <c r="I638" s="11">
        <v>0</v>
      </c>
      <c r="J638" s="10">
        <f>TRUNC(I638*D638,2)</f>
        <v>0</v>
      </c>
      <c r="K638" s="11">
        <f t="shared" si="149"/>
        <v>1699.52</v>
      </c>
      <c r="L638" s="10">
        <f t="shared" si="149"/>
        <v>1699.52</v>
      </c>
      <c r="M638" s="5" t="s">
        <v>51</v>
      </c>
      <c r="N638" s="1" t="s">
        <v>575</v>
      </c>
      <c r="O638" s="1" t="s">
        <v>657</v>
      </c>
      <c r="P638" s="1" t="s">
        <v>60</v>
      </c>
      <c r="Q638" s="1" t="s">
        <v>60</v>
      </c>
      <c r="R638" s="1" t="s">
        <v>60</v>
      </c>
      <c r="S638">
        <v>1</v>
      </c>
      <c r="T638">
        <v>0</v>
      </c>
      <c r="U638">
        <v>0.03</v>
      </c>
      <c r="AV638" s="1" t="s">
        <v>51</v>
      </c>
      <c r="AW638" s="1" t="s">
        <v>1442</v>
      </c>
      <c r="AX638" s="1" t="s">
        <v>51</v>
      </c>
      <c r="AY638" s="1" t="s">
        <v>51</v>
      </c>
    </row>
    <row r="639" spans="1:51" ht="30" customHeight="1" x14ac:dyDescent="0.3">
      <c r="A639" s="5" t="s">
        <v>762</v>
      </c>
      <c r="B639" s="5" t="s">
        <v>51</v>
      </c>
      <c r="C639" s="5" t="s">
        <v>51</v>
      </c>
      <c r="D639" s="6"/>
      <c r="E639" s="11"/>
      <c r="F639" s="10">
        <f>TRUNC(SUMIF(N636:N638, N635, F636:F638),0)</f>
        <v>14982</v>
      </c>
      <c r="G639" s="11"/>
      <c r="H639" s="10">
        <f>TRUNC(SUMIF(N636:N638, N635, H636:H638),0)</f>
        <v>56650</v>
      </c>
      <c r="I639" s="11"/>
      <c r="J639" s="10">
        <f>TRUNC(SUMIF(N636:N638, N635, J636:J638),0)</f>
        <v>0</v>
      </c>
      <c r="K639" s="11"/>
      <c r="L639" s="10">
        <f>F639+H639+J639</f>
        <v>71632</v>
      </c>
      <c r="M639" s="5" t="s">
        <v>51</v>
      </c>
      <c r="N639" s="1" t="s">
        <v>208</v>
      </c>
      <c r="O639" s="1" t="s">
        <v>208</v>
      </c>
      <c r="P639" s="1" t="s">
        <v>51</v>
      </c>
      <c r="Q639" s="1" t="s">
        <v>51</v>
      </c>
      <c r="R639" s="1" t="s">
        <v>51</v>
      </c>
      <c r="AV639" s="1" t="s">
        <v>51</v>
      </c>
      <c r="AW639" s="1" t="s">
        <v>51</v>
      </c>
      <c r="AX639" s="1" t="s">
        <v>51</v>
      </c>
      <c r="AY639" s="1" t="s">
        <v>51</v>
      </c>
    </row>
    <row r="640" spans="1:51" ht="30" customHeight="1" x14ac:dyDescent="0.3">
      <c r="A640" s="6"/>
      <c r="B640" s="6"/>
      <c r="C640" s="6"/>
      <c r="D640" s="6"/>
      <c r="E640" s="11"/>
      <c r="F640" s="10"/>
      <c r="G640" s="11"/>
      <c r="H640" s="10"/>
      <c r="I640" s="11"/>
      <c r="J640" s="10"/>
      <c r="K640" s="11"/>
      <c r="L640" s="10"/>
      <c r="M640" s="6"/>
    </row>
    <row r="641" spans="1:51" ht="30" customHeight="1" x14ac:dyDescent="0.3">
      <c r="A641" s="37" t="s">
        <v>1443</v>
      </c>
      <c r="B641" s="37"/>
      <c r="C641" s="37"/>
      <c r="D641" s="37"/>
      <c r="E641" s="38"/>
      <c r="F641" s="39"/>
      <c r="G641" s="38"/>
      <c r="H641" s="39"/>
      <c r="I641" s="38"/>
      <c r="J641" s="39"/>
      <c r="K641" s="38"/>
      <c r="L641" s="39"/>
      <c r="M641" s="37"/>
      <c r="N641" s="1" t="s">
        <v>580</v>
      </c>
    </row>
    <row r="642" spans="1:51" ht="30" customHeight="1" x14ac:dyDescent="0.3">
      <c r="A642" s="5" t="s">
        <v>544</v>
      </c>
      <c r="B642" s="5" t="s">
        <v>1444</v>
      </c>
      <c r="C642" s="5" t="s">
        <v>65</v>
      </c>
      <c r="D642" s="6">
        <v>0.35</v>
      </c>
      <c r="E642" s="11">
        <f>단가대비표!O123</f>
        <v>4811</v>
      </c>
      <c r="F642" s="10">
        <f t="shared" ref="F642:F650" si="150">TRUNC(E642*D642,2)</f>
        <v>1683.85</v>
      </c>
      <c r="G642" s="11">
        <f>단가대비표!P123</f>
        <v>0</v>
      </c>
      <c r="H642" s="10">
        <f t="shared" ref="H642:H650" si="151">TRUNC(G642*D642,2)</f>
        <v>0</v>
      </c>
      <c r="I642" s="11">
        <f>단가대비표!V123</f>
        <v>0</v>
      </c>
      <c r="J642" s="10">
        <f t="shared" ref="J642:J650" si="152">TRUNC(I642*D642,2)</f>
        <v>0</v>
      </c>
      <c r="K642" s="11">
        <f t="shared" ref="K642:K650" si="153">TRUNC(E642+G642+I642,2)</f>
        <v>4811</v>
      </c>
      <c r="L642" s="10">
        <f t="shared" ref="L642:L650" si="154">TRUNC(F642+H642+J642,2)</f>
        <v>1683.85</v>
      </c>
      <c r="M642" s="5" t="s">
        <v>51</v>
      </c>
      <c r="N642" s="1" t="s">
        <v>580</v>
      </c>
      <c r="O642" s="1" t="s">
        <v>1445</v>
      </c>
      <c r="P642" s="1" t="s">
        <v>60</v>
      </c>
      <c r="Q642" s="1" t="s">
        <v>60</v>
      </c>
      <c r="R642" s="1" t="s">
        <v>61</v>
      </c>
      <c r="AV642" s="1" t="s">
        <v>51</v>
      </c>
      <c r="AW642" s="1" t="s">
        <v>1446</v>
      </c>
      <c r="AX642" s="1" t="s">
        <v>51</v>
      </c>
      <c r="AY642" s="1" t="s">
        <v>51</v>
      </c>
    </row>
    <row r="643" spans="1:51" ht="30" customHeight="1" x14ac:dyDescent="0.3">
      <c r="A643" s="5" t="s">
        <v>1103</v>
      </c>
      <c r="B643" s="5" t="s">
        <v>1104</v>
      </c>
      <c r="C643" s="5" t="s">
        <v>58</v>
      </c>
      <c r="D643" s="6">
        <v>2</v>
      </c>
      <c r="E643" s="11">
        <f>단가대비표!O52</f>
        <v>120</v>
      </c>
      <c r="F643" s="10">
        <f t="shared" si="150"/>
        <v>240</v>
      </c>
      <c r="G643" s="11">
        <f>단가대비표!P52</f>
        <v>0</v>
      </c>
      <c r="H643" s="10">
        <f t="shared" si="151"/>
        <v>0</v>
      </c>
      <c r="I643" s="11">
        <f>단가대비표!V52</f>
        <v>0</v>
      </c>
      <c r="J643" s="10">
        <f t="shared" si="152"/>
        <v>0</v>
      </c>
      <c r="K643" s="11">
        <f t="shared" si="153"/>
        <v>120</v>
      </c>
      <c r="L643" s="10">
        <f t="shared" si="154"/>
        <v>240</v>
      </c>
      <c r="M643" s="5" t="s">
        <v>51</v>
      </c>
      <c r="N643" s="1" t="s">
        <v>580</v>
      </c>
      <c r="O643" s="1" t="s">
        <v>1105</v>
      </c>
      <c r="P643" s="1" t="s">
        <v>60</v>
      </c>
      <c r="Q643" s="1" t="s">
        <v>60</v>
      </c>
      <c r="R643" s="1" t="s">
        <v>61</v>
      </c>
      <c r="AV643" s="1" t="s">
        <v>51</v>
      </c>
      <c r="AW643" s="1" t="s">
        <v>1447</v>
      </c>
      <c r="AX643" s="1" t="s">
        <v>51</v>
      </c>
      <c r="AY643" s="1" t="s">
        <v>51</v>
      </c>
    </row>
    <row r="644" spans="1:51" ht="30" customHeight="1" x14ac:dyDescent="0.3">
      <c r="A644" s="5" t="s">
        <v>544</v>
      </c>
      <c r="B644" s="5" t="s">
        <v>1448</v>
      </c>
      <c r="C644" s="5" t="s">
        <v>65</v>
      </c>
      <c r="D644" s="6">
        <v>2</v>
      </c>
      <c r="E644" s="11">
        <f>단가대비표!O124</f>
        <v>6050</v>
      </c>
      <c r="F644" s="10">
        <f t="shared" si="150"/>
        <v>12100</v>
      </c>
      <c r="G644" s="11">
        <f>단가대비표!P124</f>
        <v>0</v>
      </c>
      <c r="H644" s="10">
        <f t="shared" si="151"/>
        <v>0</v>
      </c>
      <c r="I644" s="11">
        <f>단가대비표!V124</f>
        <v>0</v>
      </c>
      <c r="J644" s="10">
        <f t="shared" si="152"/>
        <v>0</v>
      </c>
      <c r="K644" s="11">
        <f t="shared" si="153"/>
        <v>6050</v>
      </c>
      <c r="L644" s="10">
        <f t="shared" si="154"/>
        <v>12100</v>
      </c>
      <c r="M644" s="5" t="s">
        <v>51</v>
      </c>
      <c r="N644" s="1" t="s">
        <v>580</v>
      </c>
      <c r="O644" s="1" t="s">
        <v>1449</v>
      </c>
      <c r="P644" s="1" t="s">
        <v>60</v>
      </c>
      <c r="Q644" s="1" t="s">
        <v>60</v>
      </c>
      <c r="R644" s="1" t="s">
        <v>61</v>
      </c>
      <c r="AV644" s="1" t="s">
        <v>51</v>
      </c>
      <c r="AW644" s="1" t="s">
        <v>1450</v>
      </c>
      <c r="AX644" s="1" t="s">
        <v>51</v>
      </c>
      <c r="AY644" s="1" t="s">
        <v>51</v>
      </c>
    </row>
    <row r="645" spans="1:51" ht="30" customHeight="1" x14ac:dyDescent="0.3">
      <c r="A645" s="5" t="s">
        <v>544</v>
      </c>
      <c r="B645" s="5" t="s">
        <v>1451</v>
      </c>
      <c r="C645" s="5" t="s">
        <v>65</v>
      </c>
      <c r="D645" s="6">
        <v>2</v>
      </c>
      <c r="E645" s="11">
        <f>단가대비표!O122</f>
        <v>458</v>
      </c>
      <c r="F645" s="10">
        <f t="shared" si="150"/>
        <v>916</v>
      </c>
      <c r="G645" s="11">
        <f>단가대비표!P122</f>
        <v>0</v>
      </c>
      <c r="H645" s="10">
        <f t="shared" si="151"/>
        <v>0</v>
      </c>
      <c r="I645" s="11">
        <f>단가대비표!V122</f>
        <v>0</v>
      </c>
      <c r="J645" s="10">
        <f t="shared" si="152"/>
        <v>0</v>
      </c>
      <c r="K645" s="11">
        <f t="shared" si="153"/>
        <v>458</v>
      </c>
      <c r="L645" s="10">
        <f t="shared" si="154"/>
        <v>916</v>
      </c>
      <c r="M645" s="5" t="s">
        <v>51</v>
      </c>
      <c r="N645" s="1" t="s">
        <v>580</v>
      </c>
      <c r="O645" s="1" t="s">
        <v>1452</v>
      </c>
      <c r="P645" s="1" t="s">
        <v>60</v>
      </c>
      <c r="Q645" s="1" t="s">
        <v>60</v>
      </c>
      <c r="R645" s="1" t="s">
        <v>61</v>
      </c>
      <c r="AV645" s="1" t="s">
        <v>51</v>
      </c>
      <c r="AW645" s="1" t="s">
        <v>1453</v>
      </c>
      <c r="AX645" s="1" t="s">
        <v>51</v>
      </c>
      <c r="AY645" s="1" t="s">
        <v>51</v>
      </c>
    </row>
    <row r="646" spans="1:51" ht="30" customHeight="1" x14ac:dyDescent="0.3">
      <c r="A646" s="5" t="s">
        <v>544</v>
      </c>
      <c r="B646" s="5" t="s">
        <v>1454</v>
      </c>
      <c r="C646" s="5" t="s">
        <v>65</v>
      </c>
      <c r="D646" s="6">
        <v>2</v>
      </c>
      <c r="E646" s="11">
        <f>단가대비표!O125</f>
        <v>3510</v>
      </c>
      <c r="F646" s="10">
        <f t="shared" si="150"/>
        <v>7020</v>
      </c>
      <c r="G646" s="11">
        <f>단가대비표!P125</f>
        <v>0</v>
      </c>
      <c r="H646" s="10">
        <f t="shared" si="151"/>
        <v>0</v>
      </c>
      <c r="I646" s="11">
        <f>단가대비표!V125</f>
        <v>0</v>
      </c>
      <c r="J646" s="10">
        <f t="shared" si="152"/>
        <v>0</v>
      </c>
      <c r="K646" s="11">
        <f t="shared" si="153"/>
        <v>3510</v>
      </c>
      <c r="L646" s="10">
        <f t="shared" si="154"/>
        <v>7020</v>
      </c>
      <c r="M646" s="5" t="s">
        <v>51</v>
      </c>
      <c r="N646" s="1" t="s">
        <v>580</v>
      </c>
      <c r="O646" s="1" t="s">
        <v>1455</v>
      </c>
      <c r="P646" s="1" t="s">
        <v>60</v>
      </c>
      <c r="Q646" s="1" t="s">
        <v>60</v>
      </c>
      <c r="R646" s="1" t="s">
        <v>61</v>
      </c>
      <c r="AV646" s="1" t="s">
        <v>51</v>
      </c>
      <c r="AW646" s="1" t="s">
        <v>1456</v>
      </c>
      <c r="AX646" s="1" t="s">
        <v>51</v>
      </c>
      <c r="AY646" s="1" t="s">
        <v>51</v>
      </c>
    </row>
    <row r="647" spans="1:51" ht="30" customHeight="1" x14ac:dyDescent="0.3">
      <c r="A647" s="5" t="s">
        <v>1457</v>
      </c>
      <c r="B647" s="5" t="s">
        <v>1458</v>
      </c>
      <c r="C647" s="5" t="s">
        <v>58</v>
      </c>
      <c r="D647" s="6">
        <v>2</v>
      </c>
      <c r="E647" s="11">
        <f>단가대비표!O48</f>
        <v>105</v>
      </c>
      <c r="F647" s="10">
        <f t="shared" si="150"/>
        <v>210</v>
      </c>
      <c r="G647" s="11">
        <f>단가대비표!P48</f>
        <v>0</v>
      </c>
      <c r="H647" s="10">
        <f t="shared" si="151"/>
        <v>0</v>
      </c>
      <c r="I647" s="11">
        <f>단가대비표!V48</f>
        <v>0</v>
      </c>
      <c r="J647" s="10">
        <f t="shared" si="152"/>
        <v>0</v>
      </c>
      <c r="K647" s="11">
        <f t="shared" si="153"/>
        <v>105</v>
      </c>
      <c r="L647" s="10">
        <f t="shared" si="154"/>
        <v>210</v>
      </c>
      <c r="M647" s="5" t="s">
        <v>51</v>
      </c>
      <c r="N647" s="1" t="s">
        <v>580</v>
      </c>
      <c r="O647" s="1" t="s">
        <v>1459</v>
      </c>
      <c r="P647" s="1" t="s">
        <v>60</v>
      </c>
      <c r="Q647" s="1" t="s">
        <v>60</v>
      </c>
      <c r="R647" s="1" t="s">
        <v>61</v>
      </c>
      <c r="AV647" s="1" t="s">
        <v>51</v>
      </c>
      <c r="AW647" s="1" t="s">
        <v>1460</v>
      </c>
      <c r="AX647" s="1" t="s">
        <v>51</v>
      </c>
      <c r="AY647" s="1" t="s">
        <v>51</v>
      </c>
    </row>
    <row r="648" spans="1:51" ht="30" customHeight="1" x14ac:dyDescent="0.3">
      <c r="A648" s="5" t="s">
        <v>1111</v>
      </c>
      <c r="B648" s="5" t="s">
        <v>1112</v>
      </c>
      <c r="C648" s="5" t="s">
        <v>58</v>
      </c>
      <c r="D648" s="6">
        <v>2</v>
      </c>
      <c r="E648" s="11">
        <f>단가대비표!O51</f>
        <v>9.1999999999999993</v>
      </c>
      <c r="F648" s="10">
        <f t="shared" si="150"/>
        <v>18.399999999999999</v>
      </c>
      <c r="G648" s="11">
        <f>단가대비표!P51</f>
        <v>0</v>
      </c>
      <c r="H648" s="10">
        <f t="shared" si="151"/>
        <v>0</v>
      </c>
      <c r="I648" s="11">
        <f>단가대비표!V51</f>
        <v>0</v>
      </c>
      <c r="J648" s="10">
        <f t="shared" si="152"/>
        <v>0</v>
      </c>
      <c r="K648" s="11">
        <f t="shared" si="153"/>
        <v>9.1999999999999993</v>
      </c>
      <c r="L648" s="10">
        <f t="shared" si="154"/>
        <v>18.399999999999999</v>
      </c>
      <c r="M648" s="5" t="s">
        <v>51</v>
      </c>
      <c r="N648" s="1" t="s">
        <v>580</v>
      </c>
      <c r="O648" s="1" t="s">
        <v>1113</v>
      </c>
      <c r="P648" s="1" t="s">
        <v>60</v>
      </c>
      <c r="Q648" s="1" t="s">
        <v>60</v>
      </c>
      <c r="R648" s="1" t="s">
        <v>61</v>
      </c>
      <c r="AV648" s="1" t="s">
        <v>51</v>
      </c>
      <c r="AW648" s="1" t="s">
        <v>1461</v>
      </c>
      <c r="AX648" s="1" t="s">
        <v>51</v>
      </c>
      <c r="AY648" s="1" t="s">
        <v>51</v>
      </c>
    </row>
    <row r="649" spans="1:51" ht="30" customHeight="1" x14ac:dyDescent="0.3">
      <c r="A649" s="5" t="s">
        <v>769</v>
      </c>
      <c r="B649" s="5" t="s">
        <v>751</v>
      </c>
      <c r="C649" s="5" t="s">
        <v>752</v>
      </c>
      <c r="D649" s="6">
        <f>공량산출근거서!K311</f>
        <v>7.1999999999999995E-2</v>
      </c>
      <c r="E649" s="11">
        <f>단가대비표!O169</f>
        <v>0</v>
      </c>
      <c r="F649" s="10">
        <f t="shared" si="150"/>
        <v>0</v>
      </c>
      <c r="G649" s="11">
        <f>단가대비표!P169</f>
        <v>273676</v>
      </c>
      <c r="H649" s="10">
        <f t="shared" si="151"/>
        <v>19704.669999999998</v>
      </c>
      <c r="I649" s="11">
        <f>단가대비표!V169</f>
        <v>0</v>
      </c>
      <c r="J649" s="10">
        <f t="shared" si="152"/>
        <v>0</v>
      </c>
      <c r="K649" s="11">
        <f t="shared" si="153"/>
        <v>273676</v>
      </c>
      <c r="L649" s="10">
        <f t="shared" si="154"/>
        <v>19704.669999999998</v>
      </c>
      <c r="M649" s="5" t="s">
        <v>51</v>
      </c>
      <c r="N649" s="1" t="s">
        <v>580</v>
      </c>
      <c r="O649" s="1" t="s">
        <v>770</v>
      </c>
      <c r="P649" s="1" t="s">
        <v>60</v>
      </c>
      <c r="Q649" s="1" t="s">
        <v>60</v>
      </c>
      <c r="R649" s="1" t="s">
        <v>61</v>
      </c>
      <c r="V649">
        <v>1</v>
      </c>
      <c r="AV649" s="1" t="s">
        <v>51</v>
      </c>
      <c r="AW649" s="1" t="s">
        <v>1462</v>
      </c>
      <c r="AX649" s="1" t="s">
        <v>51</v>
      </c>
      <c r="AY649" s="1" t="s">
        <v>51</v>
      </c>
    </row>
    <row r="650" spans="1:51" ht="30" customHeight="1" x14ac:dyDescent="0.3">
      <c r="A650" s="5" t="s">
        <v>758</v>
      </c>
      <c r="B650" s="5" t="s">
        <v>759</v>
      </c>
      <c r="C650" s="5" t="s">
        <v>631</v>
      </c>
      <c r="D650" s="6">
        <v>1</v>
      </c>
      <c r="E650" s="11">
        <f>TRUNC(SUMIF(V642:V650, RIGHTB(O650, 1), H642:H650)*U650, 2)</f>
        <v>591.14</v>
      </c>
      <c r="F650" s="10">
        <f t="shared" si="150"/>
        <v>591.14</v>
      </c>
      <c r="G650" s="11">
        <v>0</v>
      </c>
      <c r="H650" s="10">
        <f t="shared" si="151"/>
        <v>0</v>
      </c>
      <c r="I650" s="11">
        <v>0</v>
      </c>
      <c r="J650" s="10">
        <f t="shared" si="152"/>
        <v>0</v>
      </c>
      <c r="K650" s="11">
        <f t="shared" si="153"/>
        <v>591.14</v>
      </c>
      <c r="L650" s="10">
        <f t="shared" si="154"/>
        <v>591.14</v>
      </c>
      <c r="M650" s="5" t="s">
        <v>51</v>
      </c>
      <c r="N650" s="1" t="s">
        <v>580</v>
      </c>
      <c r="O650" s="1" t="s">
        <v>657</v>
      </c>
      <c r="P650" s="1" t="s">
        <v>60</v>
      </c>
      <c r="Q650" s="1" t="s">
        <v>60</v>
      </c>
      <c r="R650" s="1" t="s">
        <v>60</v>
      </c>
      <c r="S650">
        <v>1</v>
      </c>
      <c r="T650">
        <v>0</v>
      </c>
      <c r="U650">
        <v>0.03</v>
      </c>
      <c r="AV650" s="1" t="s">
        <v>51</v>
      </c>
      <c r="AW650" s="1" t="s">
        <v>1463</v>
      </c>
      <c r="AX650" s="1" t="s">
        <v>51</v>
      </c>
      <c r="AY650" s="1" t="s">
        <v>51</v>
      </c>
    </row>
    <row r="651" spans="1:51" ht="30" customHeight="1" x14ac:dyDescent="0.3">
      <c r="A651" s="5" t="s">
        <v>762</v>
      </c>
      <c r="B651" s="5" t="s">
        <v>51</v>
      </c>
      <c r="C651" s="5" t="s">
        <v>51</v>
      </c>
      <c r="D651" s="6"/>
      <c r="E651" s="11"/>
      <c r="F651" s="10">
        <f>TRUNC(SUMIF(N642:N650, N641, F642:F650),0)</f>
        <v>22779</v>
      </c>
      <c r="G651" s="11"/>
      <c r="H651" s="10">
        <f>TRUNC(SUMIF(N642:N650, N641, H642:H650),0)</f>
        <v>19704</v>
      </c>
      <c r="I651" s="11"/>
      <c r="J651" s="10">
        <f>TRUNC(SUMIF(N642:N650, N641, J642:J650),0)</f>
        <v>0</v>
      </c>
      <c r="K651" s="11"/>
      <c r="L651" s="10">
        <f>F651+H651+J651</f>
        <v>42483</v>
      </c>
      <c r="M651" s="5" t="s">
        <v>51</v>
      </c>
      <c r="N651" s="1" t="s">
        <v>208</v>
      </c>
      <c r="O651" s="1" t="s">
        <v>208</v>
      </c>
      <c r="P651" s="1" t="s">
        <v>51</v>
      </c>
      <c r="Q651" s="1" t="s">
        <v>51</v>
      </c>
      <c r="R651" s="1" t="s">
        <v>51</v>
      </c>
      <c r="AV651" s="1" t="s">
        <v>51</v>
      </c>
      <c r="AW651" s="1" t="s">
        <v>51</v>
      </c>
      <c r="AX651" s="1" t="s">
        <v>51</v>
      </c>
      <c r="AY651" s="1" t="s">
        <v>51</v>
      </c>
    </row>
    <row r="652" spans="1:51" ht="30" customHeight="1" x14ac:dyDescent="0.3">
      <c r="A652" s="6"/>
      <c r="B652" s="6"/>
      <c r="C652" s="6"/>
      <c r="D652" s="6"/>
      <c r="E652" s="11"/>
      <c r="F652" s="10"/>
      <c r="G652" s="11"/>
      <c r="H652" s="10"/>
      <c r="I652" s="11"/>
      <c r="J652" s="10"/>
      <c r="K652" s="11"/>
      <c r="L652" s="10"/>
      <c r="M652" s="6"/>
    </row>
    <row r="653" spans="1:51" ht="30" customHeight="1" x14ac:dyDescent="0.3">
      <c r="A653" s="37" t="s">
        <v>1464</v>
      </c>
      <c r="B653" s="37"/>
      <c r="C653" s="37"/>
      <c r="D653" s="37"/>
      <c r="E653" s="38"/>
      <c r="F653" s="39"/>
      <c r="G653" s="38"/>
      <c r="H653" s="39"/>
      <c r="I653" s="38"/>
      <c r="J653" s="39"/>
      <c r="K653" s="38"/>
      <c r="L653" s="39"/>
      <c r="M653" s="37"/>
      <c r="N653" s="1" t="s">
        <v>584</v>
      </c>
    </row>
    <row r="654" spans="1:51" ht="30" customHeight="1" x14ac:dyDescent="0.3">
      <c r="A654" s="5" t="s">
        <v>846</v>
      </c>
      <c r="B654" s="5" t="s">
        <v>1465</v>
      </c>
      <c r="C654" s="5" t="s">
        <v>65</v>
      </c>
      <c r="D654" s="6">
        <v>1</v>
      </c>
      <c r="E654" s="11">
        <f>단가대비표!O23</f>
        <v>16965</v>
      </c>
      <c r="F654" s="10">
        <f>TRUNC(E654*D654,2)</f>
        <v>16965</v>
      </c>
      <c r="G654" s="11">
        <f>단가대비표!P23</f>
        <v>0</v>
      </c>
      <c r="H654" s="10">
        <f>TRUNC(G654*D654,2)</f>
        <v>0</v>
      </c>
      <c r="I654" s="11">
        <f>단가대비표!V23</f>
        <v>0</v>
      </c>
      <c r="J654" s="10">
        <f>TRUNC(I654*D654,2)</f>
        <v>0</v>
      </c>
      <c r="K654" s="11">
        <f t="shared" ref="K654:L658" si="155">TRUNC(E654+G654+I654,2)</f>
        <v>16965</v>
      </c>
      <c r="L654" s="10">
        <f t="shared" si="155"/>
        <v>16965</v>
      </c>
      <c r="M654" s="5" t="s">
        <v>51</v>
      </c>
      <c r="N654" s="1" t="s">
        <v>584</v>
      </c>
      <c r="O654" s="1" t="s">
        <v>1466</v>
      </c>
      <c r="P654" s="1" t="s">
        <v>60</v>
      </c>
      <c r="Q654" s="1" t="s">
        <v>60</v>
      </c>
      <c r="R654" s="1" t="s">
        <v>61</v>
      </c>
      <c r="V654">
        <v>1</v>
      </c>
      <c r="AV654" s="1" t="s">
        <v>51</v>
      </c>
      <c r="AW654" s="1" t="s">
        <v>1467</v>
      </c>
      <c r="AX654" s="1" t="s">
        <v>51</v>
      </c>
      <c r="AY654" s="1" t="s">
        <v>51</v>
      </c>
    </row>
    <row r="655" spans="1:51" ht="30" customHeight="1" x14ac:dyDescent="0.3">
      <c r="A655" s="5" t="s">
        <v>846</v>
      </c>
      <c r="B655" s="5" t="s">
        <v>1465</v>
      </c>
      <c r="C655" s="5" t="s">
        <v>65</v>
      </c>
      <c r="D655" s="6">
        <v>0.05</v>
      </c>
      <c r="E655" s="11">
        <f>단가대비표!O23</f>
        <v>16965</v>
      </c>
      <c r="F655" s="10">
        <f>TRUNC(E655*D655,2)</f>
        <v>848.25</v>
      </c>
      <c r="G655" s="11">
        <f>단가대비표!P23</f>
        <v>0</v>
      </c>
      <c r="H655" s="10">
        <f>TRUNC(G655*D655,2)</f>
        <v>0</v>
      </c>
      <c r="I655" s="11">
        <f>단가대비표!V23</f>
        <v>0</v>
      </c>
      <c r="J655" s="10">
        <f>TRUNC(I655*D655,2)</f>
        <v>0</v>
      </c>
      <c r="K655" s="11">
        <f t="shared" si="155"/>
        <v>16965</v>
      </c>
      <c r="L655" s="10">
        <f t="shared" si="155"/>
        <v>848.25</v>
      </c>
      <c r="M655" s="5" t="s">
        <v>51</v>
      </c>
      <c r="N655" s="1" t="s">
        <v>584</v>
      </c>
      <c r="O655" s="1" t="s">
        <v>1466</v>
      </c>
      <c r="P655" s="1" t="s">
        <v>60</v>
      </c>
      <c r="Q655" s="1" t="s">
        <v>60</v>
      </c>
      <c r="R655" s="1" t="s">
        <v>61</v>
      </c>
      <c r="AV655" s="1" t="s">
        <v>51</v>
      </c>
      <c r="AW655" s="1" t="s">
        <v>1467</v>
      </c>
      <c r="AX655" s="1" t="s">
        <v>51</v>
      </c>
      <c r="AY655" s="1" t="s">
        <v>51</v>
      </c>
    </row>
    <row r="656" spans="1:51" ht="30" customHeight="1" x14ac:dyDescent="0.3">
      <c r="A656" s="5" t="s">
        <v>746</v>
      </c>
      <c r="B656" s="5" t="s">
        <v>747</v>
      </c>
      <c r="C656" s="5" t="s">
        <v>631</v>
      </c>
      <c r="D656" s="6">
        <v>1</v>
      </c>
      <c r="E656" s="11">
        <f>TRUNC(SUMIF(V654:V658, RIGHTB(O656, 1), F654:F658)*U656, 2)</f>
        <v>339.3</v>
      </c>
      <c r="F656" s="10">
        <f>TRUNC(E656*D656,2)</f>
        <v>339.3</v>
      </c>
      <c r="G656" s="11">
        <v>0</v>
      </c>
      <c r="H656" s="10">
        <f>TRUNC(G656*D656,2)</f>
        <v>0</v>
      </c>
      <c r="I656" s="11">
        <v>0</v>
      </c>
      <c r="J656" s="10">
        <f>TRUNC(I656*D656,2)</f>
        <v>0</v>
      </c>
      <c r="K656" s="11">
        <f t="shared" si="155"/>
        <v>339.3</v>
      </c>
      <c r="L656" s="10">
        <f t="shared" si="155"/>
        <v>339.3</v>
      </c>
      <c r="M656" s="5" t="s">
        <v>51</v>
      </c>
      <c r="N656" s="1" t="s">
        <v>584</v>
      </c>
      <c r="O656" s="1" t="s">
        <v>657</v>
      </c>
      <c r="P656" s="1" t="s">
        <v>60</v>
      </c>
      <c r="Q656" s="1" t="s">
        <v>60</v>
      </c>
      <c r="R656" s="1" t="s">
        <v>60</v>
      </c>
      <c r="S656">
        <v>0</v>
      </c>
      <c r="T656">
        <v>0</v>
      </c>
      <c r="U656">
        <v>0.02</v>
      </c>
      <c r="AV656" s="1" t="s">
        <v>51</v>
      </c>
      <c r="AW656" s="1" t="s">
        <v>1468</v>
      </c>
      <c r="AX656" s="1" t="s">
        <v>51</v>
      </c>
      <c r="AY656" s="1" t="s">
        <v>51</v>
      </c>
    </row>
    <row r="657" spans="1:51" ht="30" customHeight="1" x14ac:dyDescent="0.3">
      <c r="A657" s="5" t="s">
        <v>769</v>
      </c>
      <c r="B657" s="5" t="s">
        <v>751</v>
      </c>
      <c r="C657" s="5" t="s">
        <v>752</v>
      </c>
      <c r="D657" s="6">
        <f>공량산출근거서!K315</f>
        <v>1.0999999999999999E-2</v>
      </c>
      <c r="E657" s="11">
        <f>단가대비표!O169</f>
        <v>0</v>
      </c>
      <c r="F657" s="10">
        <f>TRUNC(E657*D657,2)</f>
        <v>0</v>
      </c>
      <c r="G657" s="11">
        <f>단가대비표!P169</f>
        <v>273676</v>
      </c>
      <c r="H657" s="10">
        <f>TRUNC(G657*D657,2)</f>
        <v>3010.43</v>
      </c>
      <c r="I657" s="11">
        <f>단가대비표!V169</f>
        <v>0</v>
      </c>
      <c r="J657" s="10">
        <f>TRUNC(I657*D657,2)</f>
        <v>0</v>
      </c>
      <c r="K657" s="11">
        <f t="shared" si="155"/>
        <v>273676</v>
      </c>
      <c r="L657" s="10">
        <f t="shared" si="155"/>
        <v>3010.43</v>
      </c>
      <c r="M657" s="5" t="s">
        <v>51</v>
      </c>
      <c r="N657" s="1" t="s">
        <v>584</v>
      </c>
      <c r="O657" s="1" t="s">
        <v>770</v>
      </c>
      <c r="P657" s="1" t="s">
        <v>60</v>
      </c>
      <c r="Q657" s="1" t="s">
        <v>60</v>
      </c>
      <c r="R657" s="1" t="s">
        <v>61</v>
      </c>
      <c r="W657">
        <v>2</v>
      </c>
      <c r="AV657" s="1" t="s">
        <v>51</v>
      </c>
      <c r="AW657" s="1" t="s">
        <v>1469</v>
      </c>
      <c r="AX657" s="1" t="s">
        <v>51</v>
      </c>
      <c r="AY657" s="1" t="s">
        <v>51</v>
      </c>
    </row>
    <row r="658" spans="1:51" ht="30" customHeight="1" x14ac:dyDescent="0.3">
      <c r="A658" s="5" t="s">
        <v>758</v>
      </c>
      <c r="B658" s="5" t="s">
        <v>759</v>
      </c>
      <c r="C658" s="5" t="s">
        <v>631</v>
      </c>
      <c r="D658" s="6">
        <v>1</v>
      </c>
      <c r="E658" s="11">
        <f>TRUNC(SUMIF(W654:W658, RIGHTB(O658, 1), H654:H658)*U658, 2)</f>
        <v>90.31</v>
      </c>
      <c r="F658" s="10">
        <f>TRUNC(E658*D658,2)</f>
        <v>90.31</v>
      </c>
      <c r="G658" s="11">
        <v>0</v>
      </c>
      <c r="H658" s="10">
        <f>TRUNC(G658*D658,2)</f>
        <v>0</v>
      </c>
      <c r="I658" s="11">
        <v>0</v>
      </c>
      <c r="J658" s="10">
        <f>TRUNC(I658*D658,2)</f>
        <v>0</v>
      </c>
      <c r="K658" s="11">
        <f t="shared" si="155"/>
        <v>90.31</v>
      </c>
      <c r="L658" s="10">
        <f t="shared" si="155"/>
        <v>90.31</v>
      </c>
      <c r="M658" s="5" t="s">
        <v>51</v>
      </c>
      <c r="N658" s="1" t="s">
        <v>584</v>
      </c>
      <c r="O658" s="1" t="s">
        <v>748</v>
      </c>
      <c r="P658" s="1" t="s">
        <v>60</v>
      </c>
      <c r="Q658" s="1" t="s">
        <v>60</v>
      </c>
      <c r="R658" s="1" t="s">
        <v>60</v>
      </c>
      <c r="S658">
        <v>1</v>
      </c>
      <c r="T658">
        <v>0</v>
      </c>
      <c r="U658">
        <v>0.03</v>
      </c>
      <c r="AV658" s="1" t="s">
        <v>51</v>
      </c>
      <c r="AW658" s="1" t="s">
        <v>1470</v>
      </c>
      <c r="AX658" s="1" t="s">
        <v>51</v>
      </c>
      <c r="AY658" s="1" t="s">
        <v>51</v>
      </c>
    </row>
    <row r="659" spans="1:51" ht="30" customHeight="1" x14ac:dyDescent="0.3">
      <c r="A659" s="5" t="s">
        <v>762</v>
      </c>
      <c r="B659" s="5" t="s">
        <v>51</v>
      </c>
      <c r="C659" s="5" t="s">
        <v>51</v>
      </c>
      <c r="D659" s="6"/>
      <c r="E659" s="11"/>
      <c r="F659" s="10">
        <f>TRUNC(SUMIF(N654:N658, N653, F654:F658),0)</f>
        <v>18242</v>
      </c>
      <c r="G659" s="11"/>
      <c r="H659" s="10">
        <f>TRUNC(SUMIF(N654:N658, N653, H654:H658),0)</f>
        <v>3010</v>
      </c>
      <c r="I659" s="11"/>
      <c r="J659" s="10">
        <f>TRUNC(SUMIF(N654:N658, N653, J654:J658),0)</f>
        <v>0</v>
      </c>
      <c r="K659" s="11"/>
      <c r="L659" s="10">
        <f>F659+H659+J659</f>
        <v>21252</v>
      </c>
      <c r="M659" s="5" t="s">
        <v>51</v>
      </c>
      <c r="N659" s="1" t="s">
        <v>208</v>
      </c>
      <c r="O659" s="1" t="s">
        <v>208</v>
      </c>
      <c r="P659" s="1" t="s">
        <v>51</v>
      </c>
      <c r="Q659" s="1" t="s">
        <v>51</v>
      </c>
      <c r="R659" s="1" t="s">
        <v>51</v>
      </c>
      <c r="AV659" s="1" t="s">
        <v>51</v>
      </c>
      <c r="AW659" s="1" t="s">
        <v>51</v>
      </c>
      <c r="AX659" s="1" t="s">
        <v>51</v>
      </c>
      <c r="AY659" s="1" t="s">
        <v>51</v>
      </c>
    </row>
    <row r="660" spans="1:51" ht="30" customHeight="1" x14ac:dyDescent="0.3">
      <c r="A660" s="6"/>
      <c r="B660" s="6"/>
      <c r="C660" s="6"/>
      <c r="D660" s="6"/>
      <c r="E660" s="11"/>
      <c r="F660" s="10"/>
      <c r="G660" s="11"/>
      <c r="H660" s="10"/>
      <c r="I660" s="11"/>
      <c r="J660" s="10"/>
      <c r="K660" s="11"/>
      <c r="L660" s="10"/>
      <c r="M660" s="6"/>
    </row>
    <row r="661" spans="1:51" ht="30" customHeight="1" x14ac:dyDescent="0.3">
      <c r="A661" s="37" t="s">
        <v>1471</v>
      </c>
      <c r="B661" s="37"/>
      <c r="C661" s="37"/>
      <c r="D661" s="37"/>
      <c r="E661" s="38"/>
      <c r="F661" s="39"/>
      <c r="G661" s="38"/>
      <c r="H661" s="39"/>
      <c r="I661" s="38"/>
      <c r="J661" s="39"/>
      <c r="K661" s="38"/>
      <c r="L661" s="39"/>
      <c r="M661" s="37"/>
      <c r="N661" s="1" t="s">
        <v>816</v>
      </c>
    </row>
    <row r="662" spans="1:51" ht="30" customHeight="1" x14ac:dyDescent="0.3">
      <c r="A662" s="5" t="s">
        <v>122</v>
      </c>
      <c r="B662" s="5" t="s">
        <v>1472</v>
      </c>
      <c r="C662" s="5" t="s">
        <v>124</v>
      </c>
      <c r="D662" s="6">
        <v>1</v>
      </c>
      <c r="E662" s="11">
        <v>318</v>
      </c>
      <c r="F662" s="10">
        <f>TRUNC(E662*D662,2)</f>
        <v>318</v>
      </c>
      <c r="G662" s="11">
        <v>7715</v>
      </c>
      <c r="H662" s="10">
        <f>TRUNC(G662*D662,2)</f>
        <v>7715</v>
      </c>
      <c r="I662" s="11">
        <v>267</v>
      </c>
      <c r="J662" s="10">
        <f>TRUNC(I662*D662,2)</f>
        <v>267</v>
      </c>
      <c r="K662" s="11">
        <f>TRUNC(E662+G662+I662,2)</f>
        <v>8300</v>
      </c>
      <c r="L662" s="10">
        <f>TRUNC(F662+H662+J662,2)</f>
        <v>8300</v>
      </c>
      <c r="M662" s="5" t="s">
        <v>1473</v>
      </c>
      <c r="N662" s="1" t="s">
        <v>816</v>
      </c>
      <c r="O662" s="1" t="s">
        <v>1474</v>
      </c>
      <c r="P662" s="1" t="s">
        <v>60</v>
      </c>
      <c r="Q662" s="1" t="s">
        <v>61</v>
      </c>
      <c r="R662" s="1" t="s">
        <v>60</v>
      </c>
      <c r="AV662" s="1" t="s">
        <v>51</v>
      </c>
      <c r="AW662" s="1" t="s">
        <v>1475</v>
      </c>
      <c r="AX662" s="1" t="s">
        <v>51</v>
      </c>
      <c r="AY662" s="1" t="s">
        <v>51</v>
      </c>
    </row>
    <row r="663" spans="1:51" ht="30" customHeight="1" x14ac:dyDescent="0.3">
      <c r="A663" s="5" t="s">
        <v>762</v>
      </c>
      <c r="B663" s="5" t="s">
        <v>51</v>
      </c>
      <c r="C663" s="5" t="s">
        <v>51</v>
      </c>
      <c r="D663" s="6"/>
      <c r="E663" s="11"/>
      <c r="F663" s="10">
        <f>TRUNC(SUMIF(N662:N662, N661, F662:F662),0)</f>
        <v>318</v>
      </c>
      <c r="G663" s="11"/>
      <c r="H663" s="10">
        <f>TRUNC(SUMIF(N662:N662, N661, H662:H662),0)</f>
        <v>7715</v>
      </c>
      <c r="I663" s="11"/>
      <c r="J663" s="10">
        <f>TRUNC(SUMIF(N662:N662, N661, J662:J662),0)</f>
        <v>267</v>
      </c>
      <c r="K663" s="11"/>
      <c r="L663" s="10">
        <f>F663+H663+J663</f>
        <v>8300</v>
      </c>
      <c r="M663" s="5" t="s">
        <v>51</v>
      </c>
      <c r="N663" s="1" t="s">
        <v>208</v>
      </c>
      <c r="O663" s="1" t="s">
        <v>208</v>
      </c>
      <c r="P663" s="1" t="s">
        <v>51</v>
      </c>
      <c r="Q663" s="1" t="s">
        <v>51</v>
      </c>
      <c r="R663" s="1" t="s">
        <v>51</v>
      </c>
      <c r="AV663" s="1" t="s">
        <v>51</v>
      </c>
      <c r="AW663" s="1" t="s">
        <v>51</v>
      </c>
      <c r="AX663" s="1" t="s">
        <v>51</v>
      </c>
      <c r="AY663" s="1" t="s">
        <v>51</v>
      </c>
    </row>
    <row r="664" spans="1:51" ht="30" customHeight="1" x14ac:dyDescent="0.3">
      <c r="A664" s="6"/>
      <c r="B664" s="6"/>
      <c r="C664" s="6"/>
      <c r="D664" s="6"/>
      <c r="E664" s="11"/>
      <c r="F664" s="10"/>
      <c r="G664" s="11"/>
      <c r="H664" s="10"/>
      <c r="I664" s="11"/>
      <c r="J664" s="10"/>
      <c r="K664" s="11"/>
      <c r="L664" s="10"/>
      <c r="M664" s="6"/>
    </row>
    <row r="665" spans="1:51" ht="30" customHeight="1" x14ac:dyDescent="0.3">
      <c r="A665" s="37" t="s">
        <v>1476</v>
      </c>
      <c r="B665" s="37"/>
      <c r="C665" s="37"/>
      <c r="D665" s="37"/>
      <c r="E665" s="38"/>
      <c r="F665" s="39"/>
      <c r="G665" s="38"/>
      <c r="H665" s="39"/>
      <c r="I665" s="38"/>
      <c r="J665" s="39"/>
      <c r="K665" s="38"/>
      <c r="L665" s="39"/>
      <c r="M665" s="37"/>
      <c r="N665" s="1" t="s">
        <v>821</v>
      </c>
    </row>
    <row r="666" spans="1:51" ht="30" customHeight="1" x14ac:dyDescent="0.3">
      <c r="A666" s="5" t="s">
        <v>750</v>
      </c>
      <c r="B666" s="5" t="s">
        <v>751</v>
      </c>
      <c r="C666" s="5" t="s">
        <v>752</v>
      </c>
      <c r="D666" s="6">
        <v>0.1</v>
      </c>
      <c r="E666" s="11">
        <f>단가대비표!O162</f>
        <v>0</v>
      </c>
      <c r="F666" s="10">
        <f>TRUNC(E666*D666,2)</f>
        <v>0</v>
      </c>
      <c r="G666" s="11">
        <f>단가대비표!P162</f>
        <v>172068</v>
      </c>
      <c r="H666" s="10">
        <f>TRUNC(G666*D666,2)</f>
        <v>17206.8</v>
      </c>
      <c r="I666" s="11">
        <f>단가대비표!V162</f>
        <v>0</v>
      </c>
      <c r="J666" s="10">
        <f>TRUNC(I666*D666,2)</f>
        <v>0</v>
      </c>
      <c r="K666" s="11">
        <f>TRUNC(E666+G666+I666,2)</f>
        <v>172068</v>
      </c>
      <c r="L666" s="10">
        <f>TRUNC(F666+H666+J666,2)</f>
        <v>17206.8</v>
      </c>
      <c r="M666" s="5" t="s">
        <v>51</v>
      </c>
      <c r="N666" s="1" t="s">
        <v>821</v>
      </c>
      <c r="O666" s="1" t="s">
        <v>753</v>
      </c>
      <c r="P666" s="1" t="s">
        <v>60</v>
      </c>
      <c r="Q666" s="1" t="s">
        <v>60</v>
      </c>
      <c r="R666" s="1" t="s">
        <v>61</v>
      </c>
      <c r="AV666" s="1" t="s">
        <v>51</v>
      </c>
      <c r="AW666" s="1" t="s">
        <v>1477</v>
      </c>
      <c r="AX666" s="1" t="s">
        <v>51</v>
      </c>
      <c r="AY666" s="1" t="s">
        <v>51</v>
      </c>
    </row>
    <row r="667" spans="1:51" ht="30" customHeight="1" x14ac:dyDescent="0.3">
      <c r="A667" s="5" t="s">
        <v>762</v>
      </c>
      <c r="B667" s="5" t="s">
        <v>51</v>
      </c>
      <c r="C667" s="5" t="s">
        <v>51</v>
      </c>
      <c r="D667" s="6"/>
      <c r="E667" s="11"/>
      <c r="F667" s="10">
        <f>TRUNC(SUMIF(N666:N666, N665, F666:F666),0)</f>
        <v>0</v>
      </c>
      <c r="G667" s="11"/>
      <c r="H667" s="10">
        <f>TRUNC(SUMIF(N666:N666, N665, H666:H666),0)</f>
        <v>17206</v>
      </c>
      <c r="I667" s="11"/>
      <c r="J667" s="10">
        <f>TRUNC(SUMIF(N666:N666, N665, J666:J666),0)</f>
        <v>0</v>
      </c>
      <c r="K667" s="11"/>
      <c r="L667" s="10">
        <f>F667+H667+J667</f>
        <v>17206</v>
      </c>
      <c r="M667" s="5" t="s">
        <v>51</v>
      </c>
      <c r="N667" s="1" t="s">
        <v>208</v>
      </c>
      <c r="O667" s="1" t="s">
        <v>208</v>
      </c>
      <c r="P667" s="1" t="s">
        <v>51</v>
      </c>
      <c r="Q667" s="1" t="s">
        <v>51</v>
      </c>
      <c r="R667" s="1" t="s">
        <v>51</v>
      </c>
      <c r="AV667" s="1" t="s">
        <v>51</v>
      </c>
      <c r="AW667" s="1" t="s">
        <v>51</v>
      </c>
      <c r="AX667" s="1" t="s">
        <v>51</v>
      </c>
      <c r="AY667" s="1" t="s">
        <v>51</v>
      </c>
    </row>
    <row r="668" spans="1:51" ht="30" customHeight="1" x14ac:dyDescent="0.3">
      <c r="A668" s="6"/>
      <c r="B668" s="6"/>
      <c r="C668" s="6"/>
      <c r="D668" s="6"/>
      <c r="E668" s="11"/>
      <c r="F668" s="10"/>
      <c r="G668" s="11"/>
      <c r="H668" s="10"/>
      <c r="I668" s="11"/>
      <c r="J668" s="10"/>
      <c r="K668" s="11"/>
      <c r="L668" s="10"/>
      <c r="M668" s="6"/>
    </row>
    <row r="669" spans="1:51" ht="30" customHeight="1" x14ac:dyDescent="0.3">
      <c r="A669" s="37" t="s">
        <v>1478</v>
      </c>
      <c r="B669" s="37"/>
      <c r="C669" s="37"/>
      <c r="D669" s="37"/>
      <c r="E669" s="38"/>
      <c r="F669" s="39"/>
      <c r="G669" s="38"/>
      <c r="H669" s="39"/>
      <c r="I669" s="38"/>
      <c r="J669" s="39"/>
      <c r="K669" s="38"/>
      <c r="L669" s="39"/>
      <c r="M669" s="37"/>
      <c r="N669" s="1" t="s">
        <v>826</v>
      </c>
    </row>
    <row r="670" spans="1:51" ht="30" customHeight="1" x14ac:dyDescent="0.3">
      <c r="A670" s="5" t="s">
        <v>750</v>
      </c>
      <c r="B670" s="5" t="s">
        <v>751</v>
      </c>
      <c r="C670" s="5" t="s">
        <v>752</v>
      </c>
      <c r="D670" s="6">
        <v>0.2</v>
      </c>
      <c r="E670" s="11">
        <f>단가대비표!O162</f>
        <v>0</v>
      </c>
      <c r="F670" s="10">
        <f>TRUNC(E670*D670,2)</f>
        <v>0</v>
      </c>
      <c r="G670" s="11">
        <f>단가대비표!P162</f>
        <v>172068</v>
      </c>
      <c r="H670" s="10">
        <f>TRUNC(G670*D670,2)</f>
        <v>34413.599999999999</v>
      </c>
      <c r="I670" s="11">
        <f>단가대비표!V162</f>
        <v>0</v>
      </c>
      <c r="J670" s="10">
        <f>TRUNC(I670*D670,2)</f>
        <v>0</v>
      </c>
      <c r="K670" s="11">
        <f>TRUNC(E670+G670+I670,2)</f>
        <v>172068</v>
      </c>
      <c r="L670" s="10">
        <f>TRUNC(F670+H670+J670,2)</f>
        <v>34413.599999999999</v>
      </c>
      <c r="M670" s="5" t="s">
        <v>51</v>
      </c>
      <c r="N670" s="1" t="s">
        <v>826</v>
      </c>
      <c r="O670" s="1" t="s">
        <v>753</v>
      </c>
      <c r="P670" s="1" t="s">
        <v>60</v>
      </c>
      <c r="Q670" s="1" t="s">
        <v>60</v>
      </c>
      <c r="R670" s="1" t="s">
        <v>61</v>
      </c>
      <c r="AV670" s="1" t="s">
        <v>51</v>
      </c>
      <c r="AW670" s="1" t="s">
        <v>1479</v>
      </c>
      <c r="AX670" s="1" t="s">
        <v>51</v>
      </c>
      <c r="AY670" s="1" t="s">
        <v>51</v>
      </c>
    </row>
    <row r="671" spans="1:51" ht="30" customHeight="1" x14ac:dyDescent="0.3">
      <c r="A671" s="5" t="s">
        <v>762</v>
      </c>
      <c r="B671" s="5" t="s">
        <v>51</v>
      </c>
      <c r="C671" s="5" t="s">
        <v>51</v>
      </c>
      <c r="D671" s="6"/>
      <c r="E671" s="11"/>
      <c r="F671" s="10">
        <f>TRUNC(SUMIF(N670:N670, N669, F670:F670),0)</f>
        <v>0</v>
      </c>
      <c r="G671" s="11"/>
      <c r="H671" s="10">
        <f>TRUNC(SUMIF(N670:N670, N669, H670:H670),0)</f>
        <v>34413</v>
      </c>
      <c r="I671" s="11"/>
      <c r="J671" s="10">
        <f>TRUNC(SUMIF(N670:N670, N669, J670:J670),0)</f>
        <v>0</v>
      </c>
      <c r="K671" s="11"/>
      <c r="L671" s="10">
        <f>F671+H671+J671</f>
        <v>34413</v>
      </c>
      <c r="M671" s="5" t="s">
        <v>51</v>
      </c>
      <c r="N671" s="1" t="s">
        <v>208</v>
      </c>
      <c r="O671" s="1" t="s">
        <v>208</v>
      </c>
      <c r="P671" s="1" t="s">
        <v>51</v>
      </c>
      <c r="Q671" s="1" t="s">
        <v>51</v>
      </c>
      <c r="R671" s="1" t="s">
        <v>51</v>
      </c>
      <c r="AV671" s="1" t="s">
        <v>51</v>
      </c>
      <c r="AW671" s="1" t="s">
        <v>51</v>
      </c>
      <c r="AX671" s="1" t="s">
        <v>51</v>
      </c>
      <c r="AY671" s="1" t="s">
        <v>51</v>
      </c>
    </row>
    <row r="672" spans="1:51" ht="30" customHeight="1" x14ac:dyDescent="0.3">
      <c r="A672" s="6"/>
      <c r="B672" s="6"/>
      <c r="C672" s="6"/>
      <c r="D672" s="6"/>
      <c r="E672" s="11"/>
      <c r="F672" s="10"/>
      <c r="G672" s="11"/>
      <c r="H672" s="10"/>
      <c r="I672" s="11"/>
      <c r="J672" s="10"/>
      <c r="K672" s="11"/>
      <c r="L672" s="10"/>
      <c r="M672" s="6"/>
    </row>
    <row r="673" spans="1:51" ht="30" customHeight="1" x14ac:dyDescent="0.3">
      <c r="A673" s="37" t="s">
        <v>1480</v>
      </c>
      <c r="B673" s="37"/>
      <c r="C673" s="37"/>
      <c r="D673" s="37"/>
      <c r="E673" s="38"/>
      <c r="F673" s="39"/>
      <c r="G673" s="38"/>
      <c r="H673" s="39"/>
      <c r="I673" s="38"/>
      <c r="J673" s="39"/>
      <c r="K673" s="38"/>
      <c r="L673" s="39"/>
      <c r="M673" s="37"/>
      <c r="N673" s="1" t="s">
        <v>831</v>
      </c>
    </row>
    <row r="674" spans="1:51" ht="30" customHeight="1" x14ac:dyDescent="0.3">
      <c r="A674" s="5" t="s">
        <v>1481</v>
      </c>
      <c r="B674" s="5" t="s">
        <v>1482</v>
      </c>
      <c r="C674" s="5" t="s">
        <v>124</v>
      </c>
      <c r="D674" s="6">
        <v>1.1000000000000001</v>
      </c>
      <c r="E674" s="11">
        <f>단가대비표!O8</f>
        <v>29000</v>
      </c>
      <c r="F674" s="10">
        <f>TRUNC(E674*D674,2)</f>
        <v>31900</v>
      </c>
      <c r="G674" s="11">
        <f>단가대비표!P8</f>
        <v>0</v>
      </c>
      <c r="H674" s="10">
        <f>TRUNC(G674*D674,2)</f>
        <v>0</v>
      </c>
      <c r="I674" s="11">
        <f>단가대비표!V8</f>
        <v>0</v>
      </c>
      <c r="J674" s="10">
        <f>TRUNC(I674*D674,2)</f>
        <v>0</v>
      </c>
      <c r="K674" s="11">
        <f t="shared" ref="K674:L676" si="156">TRUNC(E674+G674+I674,2)</f>
        <v>29000</v>
      </c>
      <c r="L674" s="10">
        <f t="shared" si="156"/>
        <v>31900</v>
      </c>
      <c r="M674" s="5" t="s">
        <v>51</v>
      </c>
      <c r="N674" s="1" t="s">
        <v>831</v>
      </c>
      <c r="O674" s="1" t="s">
        <v>1483</v>
      </c>
      <c r="P674" s="1" t="s">
        <v>60</v>
      </c>
      <c r="Q674" s="1" t="s">
        <v>60</v>
      </c>
      <c r="R674" s="1" t="s">
        <v>61</v>
      </c>
      <c r="AV674" s="1" t="s">
        <v>51</v>
      </c>
      <c r="AW674" s="1" t="s">
        <v>1484</v>
      </c>
      <c r="AX674" s="1" t="s">
        <v>51</v>
      </c>
      <c r="AY674" s="1" t="s">
        <v>51</v>
      </c>
    </row>
    <row r="675" spans="1:51" ht="30" customHeight="1" x14ac:dyDescent="0.3">
      <c r="A675" s="5" t="s">
        <v>750</v>
      </c>
      <c r="B675" s="5" t="s">
        <v>751</v>
      </c>
      <c r="C675" s="5" t="s">
        <v>752</v>
      </c>
      <c r="D675" s="6">
        <f>공량산출근거서!K318</f>
        <v>1.1000000000000001</v>
      </c>
      <c r="E675" s="11">
        <f>단가대비표!O162</f>
        <v>0</v>
      </c>
      <c r="F675" s="10">
        <f>TRUNC(E675*D675,2)</f>
        <v>0</v>
      </c>
      <c r="G675" s="11">
        <f>단가대비표!P162</f>
        <v>172068</v>
      </c>
      <c r="H675" s="10">
        <f>TRUNC(G675*D675,2)</f>
        <v>189274.8</v>
      </c>
      <c r="I675" s="11">
        <f>단가대비표!V162</f>
        <v>0</v>
      </c>
      <c r="J675" s="10">
        <f>TRUNC(I675*D675,2)</f>
        <v>0</v>
      </c>
      <c r="K675" s="11">
        <f t="shared" si="156"/>
        <v>172068</v>
      </c>
      <c r="L675" s="10">
        <f t="shared" si="156"/>
        <v>189274.8</v>
      </c>
      <c r="M675" s="5" t="s">
        <v>51</v>
      </c>
      <c r="N675" s="1" t="s">
        <v>831</v>
      </c>
      <c r="O675" s="1" t="s">
        <v>753</v>
      </c>
      <c r="P675" s="1" t="s">
        <v>60</v>
      </c>
      <c r="Q675" s="1" t="s">
        <v>60</v>
      </c>
      <c r="R675" s="1" t="s">
        <v>61</v>
      </c>
      <c r="V675">
        <v>1</v>
      </c>
      <c r="AV675" s="1" t="s">
        <v>51</v>
      </c>
      <c r="AW675" s="1" t="s">
        <v>1485</v>
      </c>
      <c r="AX675" s="1" t="s">
        <v>51</v>
      </c>
      <c r="AY675" s="1" t="s">
        <v>51</v>
      </c>
    </row>
    <row r="676" spans="1:51" ht="30" customHeight="1" x14ac:dyDescent="0.3">
      <c r="A676" s="5" t="s">
        <v>1486</v>
      </c>
      <c r="B676" s="5" t="s">
        <v>1487</v>
      </c>
      <c r="C676" s="5" t="s">
        <v>631</v>
      </c>
      <c r="D676" s="6">
        <v>1</v>
      </c>
      <c r="E676" s="11">
        <f>TRUNC(SUMIF(V674:V676, RIGHTB(O676, 1), H674:H676)*U676, 2)</f>
        <v>3785.49</v>
      </c>
      <c r="F676" s="10">
        <f>TRUNC(E676*D676,2)</f>
        <v>3785.49</v>
      </c>
      <c r="G676" s="11">
        <v>0</v>
      </c>
      <c r="H676" s="10">
        <f>TRUNC(G676*D676,2)</f>
        <v>0</v>
      </c>
      <c r="I676" s="11">
        <v>0</v>
      </c>
      <c r="J676" s="10">
        <f>TRUNC(I676*D676,2)</f>
        <v>0</v>
      </c>
      <c r="K676" s="11">
        <f t="shared" si="156"/>
        <v>3785.49</v>
      </c>
      <c r="L676" s="10">
        <f t="shared" si="156"/>
        <v>3785.49</v>
      </c>
      <c r="M676" s="5" t="s">
        <v>51</v>
      </c>
      <c r="N676" s="1" t="s">
        <v>831</v>
      </c>
      <c r="O676" s="1" t="s">
        <v>657</v>
      </c>
      <c r="P676" s="1" t="s">
        <v>60</v>
      </c>
      <c r="Q676" s="1" t="s">
        <v>60</v>
      </c>
      <c r="R676" s="1" t="s">
        <v>60</v>
      </c>
      <c r="S676">
        <v>1</v>
      </c>
      <c r="T676">
        <v>0</v>
      </c>
      <c r="U676">
        <v>0.02</v>
      </c>
      <c r="AV676" s="1" t="s">
        <v>51</v>
      </c>
      <c r="AW676" s="1" t="s">
        <v>1488</v>
      </c>
      <c r="AX676" s="1" t="s">
        <v>51</v>
      </c>
      <c r="AY676" s="1" t="s">
        <v>51</v>
      </c>
    </row>
    <row r="677" spans="1:51" ht="30" customHeight="1" x14ac:dyDescent="0.3">
      <c r="A677" s="5" t="s">
        <v>762</v>
      </c>
      <c r="B677" s="5" t="s">
        <v>51</v>
      </c>
      <c r="C677" s="5" t="s">
        <v>51</v>
      </c>
      <c r="D677" s="6"/>
      <c r="E677" s="11"/>
      <c r="F677" s="10">
        <f>TRUNC(SUMIF(N674:N676, N673, F674:F676),0)</f>
        <v>35685</v>
      </c>
      <c r="G677" s="11"/>
      <c r="H677" s="10">
        <f>TRUNC(SUMIF(N674:N676, N673, H674:H676),0)</f>
        <v>189274</v>
      </c>
      <c r="I677" s="11"/>
      <c r="J677" s="10">
        <f>TRUNC(SUMIF(N674:N676, N673, J674:J676),0)</f>
        <v>0</v>
      </c>
      <c r="K677" s="11"/>
      <c r="L677" s="10">
        <f>F677+H677+J677</f>
        <v>224959</v>
      </c>
      <c r="M677" s="5" t="s">
        <v>51</v>
      </c>
      <c r="N677" s="1" t="s">
        <v>208</v>
      </c>
      <c r="O677" s="1" t="s">
        <v>208</v>
      </c>
      <c r="P677" s="1" t="s">
        <v>51</v>
      </c>
      <c r="Q677" s="1" t="s">
        <v>51</v>
      </c>
      <c r="R677" s="1" t="s">
        <v>51</v>
      </c>
      <c r="AV677" s="1" t="s">
        <v>51</v>
      </c>
      <c r="AW677" s="1" t="s">
        <v>51</v>
      </c>
      <c r="AX677" s="1" t="s">
        <v>51</v>
      </c>
      <c r="AY677" s="1" t="s">
        <v>51</v>
      </c>
    </row>
    <row r="678" spans="1:51" ht="30" customHeight="1" x14ac:dyDescent="0.3">
      <c r="A678" s="6"/>
      <c r="B678" s="6"/>
      <c r="C678" s="6"/>
      <c r="D678" s="6"/>
      <c r="E678" s="11"/>
      <c r="F678" s="10"/>
      <c r="G678" s="11"/>
      <c r="H678" s="10"/>
      <c r="I678" s="11"/>
      <c r="J678" s="10"/>
      <c r="K678" s="11"/>
      <c r="L678" s="10"/>
      <c r="M678" s="6"/>
    </row>
    <row r="679" spans="1:51" ht="30" customHeight="1" x14ac:dyDescent="0.3">
      <c r="A679" s="37" t="s">
        <v>1489</v>
      </c>
      <c r="B679" s="37"/>
      <c r="C679" s="37"/>
      <c r="D679" s="37"/>
      <c r="E679" s="38"/>
      <c r="F679" s="39"/>
      <c r="G679" s="38"/>
      <c r="H679" s="39"/>
      <c r="I679" s="38"/>
      <c r="J679" s="39"/>
      <c r="K679" s="38"/>
      <c r="L679" s="39"/>
      <c r="M679" s="37"/>
      <c r="N679" s="1" t="s">
        <v>1490</v>
      </c>
    </row>
    <row r="680" spans="1:51" ht="30" customHeight="1" x14ac:dyDescent="0.3">
      <c r="A680" s="5" t="s">
        <v>1496</v>
      </c>
      <c r="B680" s="5" t="s">
        <v>1497</v>
      </c>
      <c r="C680" s="5" t="s">
        <v>1498</v>
      </c>
      <c r="D680" s="6">
        <v>0.20380000000000001</v>
      </c>
      <c r="E680" s="11">
        <f>단가대비표!O5</f>
        <v>0</v>
      </c>
      <c r="F680" s="10">
        <f>TRUNC(E680*D680,2)</f>
        <v>0</v>
      </c>
      <c r="G680" s="11">
        <f>단가대비표!P5</f>
        <v>0</v>
      </c>
      <c r="H680" s="10">
        <f>TRUNC(G680*D680,2)</f>
        <v>0</v>
      </c>
      <c r="I680" s="11">
        <f>단가대비표!V5</f>
        <v>93042</v>
      </c>
      <c r="J680" s="10">
        <f>TRUNC(I680*D680,2)</f>
        <v>18961.95</v>
      </c>
      <c r="K680" s="11">
        <f t="shared" ref="K680:L683" si="157">TRUNC(E680+G680+I680,2)</f>
        <v>93042</v>
      </c>
      <c r="L680" s="10">
        <f t="shared" si="157"/>
        <v>18961.95</v>
      </c>
      <c r="M680" s="5" t="s">
        <v>1499</v>
      </c>
      <c r="N680" s="1" t="s">
        <v>1490</v>
      </c>
      <c r="O680" s="1" t="s">
        <v>1500</v>
      </c>
      <c r="P680" s="1" t="s">
        <v>60</v>
      </c>
      <c r="Q680" s="1" t="s">
        <v>60</v>
      </c>
      <c r="R680" s="1" t="s">
        <v>61</v>
      </c>
      <c r="AV680" s="1" t="s">
        <v>51</v>
      </c>
      <c r="AW680" s="1" t="s">
        <v>1501</v>
      </c>
      <c r="AX680" s="1" t="s">
        <v>51</v>
      </c>
      <c r="AY680" s="1" t="s">
        <v>51</v>
      </c>
    </row>
    <row r="681" spans="1:51" ht="30" customHeight="1" x14ac:dyDescent="0.3">
      <c r="A681" s="5" t="s">
        <v>1502</v>
      </c>
      <c r="B681" s="5" t="s">
        <v>1503</v>
      </c>
      <c r="C681" s="5" t="s">
        <v>1504</v>
      </c>
      <c r="D681" s="6">
        <v>11.6</v>
      </c>
      <c r="E681" s="11">
        <f>단가대비표!O12</f>
        <v>1596</v>
      </c>
      <c r="F681" s="10">
        <f>TRUNC(E681*D681,2)</f>
        <v>18513.599999999999</v>
      </c>
      <c r="G681" s="11">
        <f>단가대비표!P12</f>
        <v>0</v>
      </c>
      <c r="H681" s="10">
        <f>TRUNC(G681*D681,2)</f>
        <v>0</v>
      </c>
      <c r="I681" s="11">
        <f>단가대비표!V12</f>
        <v>0</v>
      </c>
      <c r="J681" s="10">
        <f>TRUNC(I681*D681,2)</f>
        <v>0</v>
      </c>
      <c r="K681" s="11">
        <f t="shared" si="157"/>
        <v>1596</v>
      </c>
      <c r="L681" s="10">
        <f t="shared" si="157"/>
        <v>18513.599999999999</v>
      </c>
      <c r="M681" s="5" t="s">
        <v>51</v>
      </c>
      <c r="N681" s="1" t="s">
        <v>1490</v>
      </c>
      <c r="O681" s="1" t="s">
        <v>1505</v>
      </c>
      <c r="P681" s="1" t="s">
        <v>60</v>
      </c>
      <c r="Q681" s="1" t="s">
        <v>60</v>
      </c>
      <c r="R681" s="1" t="s">
        <v>61</v>
      </c>
      <c r="V681">
        <v>1</v>
      </c>
      <c r="AV681" s="1" t="s">
        <v>51</v>
      </c>
      <c r="AW681" s="1" t="s">
        <v>1506</v>
      </c>
      <c r="AX681" s="1" t="s">
        <v>51</v>
      </c>
      <c r="AY681" s="1" t="s">
        <v>51</v>
      </c>
    </row>
    <row r="682" spans="1:51" ht="30" customHeight="1" x14ac:dyDescent="0.3">
      <c r="A682" s="5" t="s">
        <v>1507</v>
      </c>
      <c r="B682" s="5" t="s">
        <v>1508</v>
      </c>
      <c r="C682" s="5" t="s">
        <v>631</v>
      </c>
      <c r="D682" s="6">
        <v>1</v>
      </c>
      <c r="E682" s="11">
        <f>TRUNC(SUMIF(V680:V683, RIGHTB(O682, 1), F680:F683)*U682, 2)</f>
        <v>4072.99</v>
      </c>
      <c r="F682" s="10">
        <f>TRUNC(E682*D682,2)</f>
        <v>4072.99</v>
      </c>
      <c r="G682" s="11">
        <v>0</v>
      </c>
      <c r="H682" s="10">
        <f>TRUNC(G682*D682,2)</f>
        <v>0</v>
      </c>
      <c r="I682" s="11">
        <v>0</v>
      </c>
      <c r="J682" s="10">
        <f>TRUNC(I682*D682,2)</f>
        <v>0</v>
      </c>
      <c r="K682" s="11">
        <f t="shared" si="157"/>
        <v>4072.99</v>
      </c>
      <c r="L682" s="10">
        <f t="shared" si="157"/>
        <v>4072.99</v>
      </c>
      <c r="M682" s="5" t="s">
        <v>51</v>
      </c>
      <c r="N682" s="1" t="s">
        <v>1490</v>
      </c>
      <c r="O682" s="1" t="s">
        <v>657</v>
      </c>
      <c r="P682" s="1" t="s">
        <v>60</v>
      </c>
      <c r="Q682" s="1" t="s">
        <v>60</v>
      </c>
      <c r="R682" s="1" t="s">
        <v>60</v>
      </c>
      <c r="S682">
        <v>0</v>
      </c>
      <c r="T682">
        <v>0</v>
      </c>
      <c r="U682">
        <v>0.22</v>
      </c>
      <c r="AV682" s="1" t="s">
        <v>51</v>
      </c>
      <c r="AW682" s="1" t="s">
        <v>1509</v>
      </c>
      <c r="AX682" s="1" t="s">
        <v>51</v>
      </c>
      <c r="AY682" s="1" t="s">
        <v>51</v>
      </c>
    </row>
    <row r="683" spans="1:51" ht="30" customHeight="1" x14ac:dyDescent="0.3">
      <c r="A683" s="5" t="s">
        <v>1510</v>
      </c>
      <c r="B683" s="5" t="s">
        <v>751</v>
      </c>
      <c r="C683" s="5" t="s">
        <v>752</v>
      </c>
      <c r="D683" s="6">
        <v>1</v>
      </c>
      <c r="E683" s="11">
        <f>TRUNC(단가대비표!O167*1/8*16/12*25/20, 1)</f>
        <v>0</v>
      </c>
      <c r="F683" s="10">
        <f>TRUNC(E683*D683,2)</f>
        <v>0</v>
      </c>
      <c r="G683" s="11">
        <f>TRUNC(단가대비표!P167*1/8*16/12*25/20, 1)</f>
        <v>59020.2</v>
      </c>
      <c r="H683" s="10">
        <f>TRUNC(G683*D683,2)</f>
        <v>59020.2</v>
      </c>
      <c r="I683" s="11">
        <f>TRUNC(단가대비표!V167*1/8*16/12*25/20, 1)</f>
        <v>0</v>
      </c>
      <c r="J683" s="10">
        <f>TRUNC(I683*D683,2)</f>
        <v>0</v>
      </c>
      <c r="K683" s="11">
        <f t="shared" si="157"/>
        <v>59020.2</v>
      </c>
      <c r="L683" s="10">
        <f t="shared" si="157"/>
        <v>59020.2</v>
      </c>
      <c r="M683" s="5" t="s">
        <v>1511</v>
      </c>
      <c r="N683" s="1" t="s">
        <v>1490</v>
      </c>
      <c r="O683" s="1" t="s">
        <v>1512</v>
      </c>
      <c r="P683" s="1" t="s">
        <v>60</v>
      </c>
      <c r="Q683" s="1" t="s">
        <v>60</v>
      </c>
      <c r="R683" s="1" t="s">
        <v>61</v>
      </c>
      <c r="AV683" s="1" t="s">
        <v>51</v>
      </c>
      <c r="AW683" s="1" t="s">
        <v>1513</v>
      </c>
      <c r="AX683" s="1" t="s">
        <v>61</v>
      </c>
      <c r="AY683" s="1" t="s">
        <v>51</v>
      </c>
    </row>
    <row r="684" spans="1:51" ht="30" customHeight="1" x14ac:dyDescent="0.3">
      <c r="A684" s="5" t="s">
        <v>762</v>
      </c>
      <c r="B684" s="5" t="s">
        <v>51</v>
      </c>
      <c r="C684" s="5" t="s">
        <v>51</v>
      </c>
      <c r="D684" s="6"/>
      <c r="E684" s="11"/>
      <c r="F684" s="10">
        <f>TRUNC(SUMIF(N680:N683, N679, F680:F683),0)</f>
        <v>22586</v>
      </c>
      <c r="G684" s="11"/>
      <c r="H684" s="10">
        <f>TRUNC(SUMIF(N680:N683, N679, H680:H683),0)</f>
        <v>59020</v>
      </c>
      <c r="I684" s="11"/>
      <c r="J684" s="10">
        <f>TRUNC(SUMIF(N680:N683, N679, J680:J683),0)</f>
        <v>18961</v>
      </c>
      <c r="K684" s="11"/>
      <c r="L684" s="10">
        <f>F684+H684+J684</f>
        <v>100567</v>
      </c>
      <c r="M684" s="5" t="s">
        <v>51</v>
      </c>
      <c r="N684" s="1" t="s">
        <v>208</v>
      </c>
      <c r="O684" s="1" t="s">
        <v>208</v>
      </c>
      <c r="P684" s="1" t="s">
        <v>51</v>
      </c>
      <c r="Q684" s="1" t="s">
        <v>51</v>
      </c>
      <c r="R684" s="1" t="s">
        <v>51</v>
      </c>
      <c r="AV684" s="1" t="s">
        <v>51</v>
      </c>
      <c r="AW684" s="1" t="s">
        <v>51</v>
      </c>
      <c r="AX684" s="1" t="s">
        <v>51</v>
      </c>
      <c r="AY684" s="1" t="s">
        <v>51</v>
      </c>
    </row>
    <row r="685" spans="1:51" ht="30" customHeight="1" x14ac:dyDescent="0.3">
      <c r="A685" s="6"/>
      <c r="B685" s="6"/>
      <c r="C685" s="6"/>
      <c r="D685" s="6"/>
      <c r="E685" s="11"/>
      <c r="F685" s="10"/>
      <c r="G685" s="11"/>
      <c r="H685" s="10"/>
      <c r="I685" s="11"/>
      <c r="J685" s="10"/>
      <c r="K685" s="11"/>
      <c r="L685" s="10"/>
      <c r="M685" s="6"/>
    </row>
    <row r="686" spans="1:51" ht="30" customHeight="1" x14ac:dyDescent="0.3">
      <c r="A686" s="37" t="s">
        <v>1514</v>
      </c>
      <c r="B686" s="37"/>
      <c r="C686" s="37"/>
      <c r="D686" s="37"/>
      <c r="E686" s="38"/>
      <c r="F686" s="39"/>
      <c r="G686" s="38"/>
      <c r="H686" s="39"/>
      <c r="I686" s="38"/>
      <c r="J686" s="39"/>
      <c r="K686" s="38"/>
      <c r="L686" s="39"/>
      <c r="M686" s="37"/>
      <c r="N686" s="1" t="s">
        <v>1515</v>
      </c>
    </row>
    <row r="687" spans="1:51" ht="30" customHeight="1" x14ac:dyDescent="0.3">
      <c r="A687" s="5" t="s">
        <v>1516</v>
      </c>
      <c r="B687" s="5" t="s">
        <v>1519</v>
      </c>
      <c r="C687" s="5" t="s">
        <v>1498</v>
      </c>
      <c r="D687" s="6">
        <v>0.2213</v>
      </c>
      <c r="E687" s="11">
        <f>단가대비표!O6</f>
        <v>0</v>
      </c>
      <c r="F687" s="10">
        <f>TRUNC(E687*D687,2)</f>
        <v>0</v>
      </c>
      <c r="G687" s="11">
        <f>단가대비표!P6</f>
        <v>0</v>
      </c>
      <c r="H687" s="10">
        <f>TRUNC(G687*D687,2)</f>
        <v>0</v>
      </c>
      <c r="I687" s="11">
        <f>단가대비표!V6</f>
        <v>64995</v>
      </c>
      <c r="J687" s="10">
        <f>TRUNC(I687*D687,2)</f>
        <v>14383.39</v>
      </c>
      <c r="K687" s="11">
        <f t="shared" ref="K687:L690" si="158">TRUNC(E687+G687+I687,2)</f>
        <v>64995</v>
      </c>
      <c r="L687" s="10">
        <f t="shared" si="158"/>
        <v>14383.39</v>
      </c>
      <c r="M687" s="5" t="s">
        <v>1499</v>
      </c>
      <c r="N687" s="1" t="s">
        <v>1515</v>
      </c>
      <c r="O687" s="1" t="s">
        <v>1520</v>
      </c>
      <c r="P687" s="1" t="s">
        <v>60</v>
      </c>
      <c r="Q687" s="1" t="s">
        <v>60</v>
      </c>
      <c r="R687" s="1" t="s">
        <v>61</v>
      </c>
      <c r="AV687" s="1" t="s">
        <v>51</v>
      </c>
      <c r="AW687" s="1" t="s">
        <v>1521</v>
      </c>
      <c r="AX687" s="1" t="s">
        <v>51</v>
      </c>
      <c r="AY687" s="1" t="s">
        <v>51</v>
      </c>
    </row>
    <row r="688" spans="1:51" ht="30" customHeight="1" x14ac:dyDescent="0.3">
      <c r="A688" s="5" t="s">
        <v>1502</v>
      </c>
      <c r="B688" s="5" t="s">
        <v>1503</v>
      </c>
      <c r="C688" s="5" t="s">
        <v>1504</v>
      </c>
      <c r="D688" s="6">
        <v>15.9</v>
      </c>
      <c r="E688" s="11">
        <f>단가대비표!O12</f>
        <v>1596</v>
      </c>
      <c r="F688" s="10">
        <f>TRUNC(E688*D688,2)</f>
        <v>25376.400000000001</v>
      </c>
      <c r="G688" s="11">
        <f>단가대비표!P12</f>
        <v>0</v>
      </c>
      <c r="H688" s="10">
        <f>TRUNC(G688*D688,2)</f>
        <v>0</v>
      </c>
      <c r="I688" s="11">
        <f>단가대비표!V12</f>
        <v>0</v>
      </c>
      <c r="J688" s="10">
        <f>TRUNC(I688*D688,2)</f>
        <v>0</v>
      </c>
      <c r="K688" s="11">
        <f t="shared" si="158"/>
        <v>1596</v>
      </c>
      <c r="L688" s="10">
        <f t="shared" si="158"/>
        <v>25376.400000000001</v>
      </c>
      <c r="M688" s="5" t="s">
        <v>51</v>
      </c>
      <c r="N688" s="1" t="s">
        <v>1515</v>
      </c>
      <c r="O688" s="1" t="s">
        <v>1505</v>
      </c>
      <c r="P688" s="1" t="s">
        <v>60</v>
      </c>
      <c r="Q688" s="1" t="s">
        <v>60</v>
      </c>
      <c r="R688" s="1" t="s">
        <v>61</v>
      </c>
      <c r="V688">
        <v>1</v>
      </c>
      <c r="AV688" s="1" t="s">
        <v>51</v>
      </c>
      <c r="AW688" s="1" t="s">
        <v>1522</v>
      </c>
      <c r="AX688" s="1" t="s">
        <v>51</v>
      </c>
      <c r="AY688" s="1" t="s">
        <v>51</v>
      </c>
    </row>
    <row r="689" spans="1:51" ht="30" customHeight="1" x14ac:dyDescent="0.3">
      <c r="A689" s="5" t="s">
        <v>1507</v>
      </c>
      <c r="B689" s="5" t="s">
        <v>1523</v>
      </c>
      <c r="C689" s="5" t="s">
        <v>631</v>
      </c>
      <c r="D689" s="6">
        <v>1</v>
      </c>
      <c r="E689" s="11">
        <f>TRUNC(SUMIF(V687:V690, RIGHTB(O689, 1), F687:F690)*U689, 2)</f>
        <v>9643.0300000000007</v>
      </c>
      <c r="F689" s="10">
        <f>TRUNC(E689*D689,2)</f>
        <v>9643.0300000000007</v>
      </c>
      <c r="G689" s="11">
        <v>0</v>
      </c>
      <c r="H689" s="10">
        <f>TRUNC(G689*D689,2)</f>
        <v>0</v>
      </c>
      <c r="I689" s="11">
        <v>0</v>
      </c>
      <c r="J689" s="10">
        <f>TRUNC(I689*D689,2)</f>
        <v>0</v>
      </c>
      <c r="K689" s="11">
        <f t="shared" si="158"/>
        <v>9643.0300000000007</v>
      </c>
      <c r="L689" s="10">
        <f t="shared" si="158"/>
        <v>9643.0300000000007</v>
      </c>
      <c r="M689" s="5" t="s">
        <v>51</v>
      </c>
      <c r="N689" s="1" t="s">
        <v>1515</v>
      </c>
      <c r="O689" s="1" t="s">
        <v>657</v>
      </c>
      <c r="P689" s="1" t="s">
        <v>60</v>
      </c>
      <c r="Q689" s="1" t="s">
        <v>60</v>
      </c>
      <c r="R689" s="1" t="s">
        <v>60</v>
      </c>
      <c r="S689">
        <v>0</v>
      </c>
      <c r="T689">
        <v>0</v>
      </c>
      <c r="U689">
        <v>0.38</v>
      </c>
      <c r="AV689" s="1" t="s">
        <v>51</v>
      </c>
      <c r="AW689" s="1" t="s">
        <v>1524</v>
      </c>
      <c r="AX689" s="1" t="s">
        <v>51</v>
      </c>
      <c r="AY689" s="1" t="s">
        <v>51</v>
      </c>
    </row>
    <row r="690" spans="1:51" ht="30" customHeight="1" x14ac:dyDescent="0.3">
      <c r="A690" s="5" t="s">
        <v>1510</v>
      </c>
      <c r="B690" s="5" t="s">
        <v>751</v>
      </c>
      <c r="C690" s="5" t="s">
        <v>752</v>
      </c>
      <c r="D690" s="6">
        <v>1</v>
      </c>
      <c r="E690" s="11">
        <f>TRUNC(단가대비표!O167*1/8*16/12*25/20, 1)</f>
        <v>0</v>
      </c>
      <c r="F690" s="10">
        <f>TRUNC(E690*D690,2)</f>
        <v>0</v>
      </c>
      <c r="G690" s="11">
        <f>TRUNC(단가대비표!P167*1/8*16/12*25/20, 1)</f>
        <v>59020.2</v>
      </c>
      <c r="H690" s="10">
        <f>TRUNC(G690*D690,2)</f>
        <v>59020.2</v>
      </c>
      <c r="I690" s="11">
        <f>TRUNC(단가대비표!V167*1/8*16/12*25/20, 1)</f>
        <v>0</v>
      </c>
      <c r="J690" s="10">
        <f>TRUNC(I690*D690,2)</f>
        <v>0</v>
      </c>
      <c r="K690" s="11">
        <f t="shared" si="158"/>
        <v>59020.2</v>
      </c>
      <c r="L690" s="10">
        <f t="shared" si="158"/>
        <v>59020.2</v>
      </c>
      <c r="M690" s="5" t="s">
        <v>1511</v>
      </c>
      <c r="N690" s="1" t="s">
        <v>1515</v>
      </c>
      <c r="O690" s="1" t="s">
        <v>1512</v>
      </c>
      <c r="P690" s="1" t="s">
        <v>60</v>
      </c>
      <c r="Q690" s="1" t="s">
        <v>60</v>
      </c>
      <c r="R690" s="1" t="s">
        <v>61</v>
      </c>
      <c r="AV690" s="1" t="s">
        <v>51</v>
      </c>
      <c r="AW690" s="1" t="s">
        <v>1525</v>
      </c>
      <c r="AX690" s="1" t="s">
        <v>61</v>
      </c>
      <c r="AY690" s="1" t="s">
        <v>51</v>
      </c>
    </row>
    <row r="691" spans="1:51" ht="30" customHeight="1" x14ac:dyDescent="0.3">
      <c r="A691" s="5" t="s">
        <v>762</v>
      </c>
      <c r="B691" s="5" t="s">
        <v>51</v>
      </c>
      <c r="C691" s="5" t="s">
        <v>51</v>
      </c>
      <c r="D691" s="6"/>
      <c r="E691" s="11"/>
      <c r="F691" s="10">
        <f>TRUNC(SUMIF(N687:N690, N686, F687:F690),0)</f>
        <v>35019</v>
      </c>
      <c r="G691" s="11"/>
      <c r="H691" s="10">
        <f>TRUNC(SUMIF(N687:N690, N686, H687:H690),0)</f>
        <v>59020</v>
      </c>
      <c r="I691" s="11"/>
      <c r="J691" s="10">
        <f>TRUNC(SUMIF(N687:N690, N686, J687:J690),0)</f>
        <v>14383</v>
      </c>
      <c r="K691" s="11"/>
      <c r="L691" s="10">
        <f>F691+H691+J691</f>
        <v>108422</v>
      </c>
      <c r="M691" s="5" t="s">
        <v>51</v>
      </c>
      <c r="N691" s="1" t="s">
        <v>208</v>
      </c>
      <c r="O691" s="1" t="s">
        <v>208</v>
      </c>
      <c r="P691" s="1" t="s">
        <v>51</v>
      </c>
      <c r="Q691" s="1" t="s">
        <v>51</v>
      </c>
      <c r="R691" s="1" t="s">
        <v>51</v>
      </c>
      <c r="AV691" s="1" t="s">
        <v>51</v>
      </c>
      <c r="AW691" s="1" t="s">
        <v>51</v>
      </c>
      <c r="AX691" s="1" t="s">
        <v>51</v>
      </c>
      <c r="AY691" s="1" t="s">
        <v>51</v>
      </c>
    </row>
    <row r="692" spans="1:51" ht="30" customHeight="1" x14ac:dyDescent="0.3">
      <c r="A692" s="6"/>
      <c r="B692" s="6"/>
      <c r="C692" s="6"/>
      <c r="D692" s="6"/>
      <c r="E692" s="11"/>
      <c r="F692" s="10"/>
      <c r="G692" s="11"/>
      <c r="H692" s="10"/>
      <c r="I692" s="11"/>
      <c r="J692" s="10"/>
      <c r="K692" s="11"/>
      <c r="L692" s="10"/>
      <c r="M692" s="6"/>
    </row>
    <row r="693" spans="1:51" ht="30" customHeight="1" x14ac:dyDescent="0.3">
      <c r="A693" s="37" t="s">
        <v>1526</v>
      </c>
      <c r="B693" s="37"/>
      <c r="C693" s="37"/>
      <c r="D693" s="37"/>
      <c r="E693" s="38"/>
      <c r="F693" s="39"/>
      <c r="G693" s="38"/>
      <c r="H693" s="39"/>
      <c r="I693" s="38"/>
      <c r="J693" s="39"/>
      <c r="K693" s="38"/>
      <c r="L693" s="39"/>
      <c r="M693" s="37"/>
      <c r="N693" s="1" t="s">
        <v>1527</v>
      </c>
    </row>
    <row r="694" spans="1:51" ht="30" customHeight="1" x14ac:dyDescent="0.3">
      <c r="A694" s="5" t="s">
        <v>1531</v>
      </c>
      <c r="B694" s="5" t="s">
        <v>1532</v>
      </c>
      <c r="C694" s="5" t="s">
        <v>1498</v>
      </c>
      <c r="D694" s="6">
        <v>0.36399999999999999</v>
      </c>
      <c r="E694" s="11">
        <f>단가대비표!O7</f>
        <v>0</v>
      </c>
      <c r="F694" s="10">
        <f>TRUNC(E694*D694,2)</f>
        <v>0</v>
      </c>
      <c r="G694" s="11">
        <f>단가대비표!P7</f>
        <v>0</v>
      </c>
      <c r="H694" s="10">
        <f>TRUNC(G694*D694,2)</f>
        <v>0</v>
      </c>
      <c r="I694" s="11">
        <f>단가대비표!V7</f>
        <v>1134</v>
      </c>
      <c r="J694" s="10">
        <f>TRUNC(I694*D694,2)</f>
        <v>412.77</v>
      </c>
      <c r="K694" s="11">
        <f t="shared" ref="K694:L697" si="159">TRUNC(E694+G694+I694,2)</f>
        <v>1134</v>
      </c>
      <c r="L694" s="10">
        <f t="shared" si="159"/>
        <v>412.77</v>
      </c>
      <c r="M694" s="5" t="s">
        <v>1499</v>
      </c>
      <c r="N694" s="1" t="s">
        <v>1527</v>
      </c>
      <c r="O694" s="1" t="s">
        <v>1533</v>
      </c>
      <c r="P694" s="1" t="s">
        <v>60</v>
      </c>
      <c r="Q694" s="1" t="s">
        <v>60</v>
      </c>
      <c r="R694" s="1" t="s">
        <v>61</v>
      </c>
      <c r="AV694" s="1" t="s">
        <v>51</v>
      </c>
      <c r="AW694" s="1" t="s">
        <v>1534</v>
      </c>
      <c r="AX694" s="1" t="s">
        <v>51</v>
      </c>
      <c r="AY694" s="1" t="s">
        <v>51</v>
      </c>
    </row>
    <row r="695" spans="1:51" ht="30" customHeight="1" x14ac:dyDescent="0.3">
      <c r="A695" s="5" t="s">
        <v>1535</v>
      </c>
      <c r="B695" s="5" t="s">
        <v>1536</v>
      </c>
      <c r="C695" s="5" t="s">
        <v>1504</v>
      </c>
      <c r="D695" s="6">
        <v>0.7</v>
      </c>
      <c r="E695" s="11">
        <f>단가대비표!O13</f>
        <v>1656</v>
      </c>
      <c r="F695" s="10">
        <f>TRUNC(E695*D695,2)</f>
        <v>1159.2</v>
      </c>
      <c r="G695" s="11">
        <f>단가대비표!P13</f>
        <v>0</v>
      </c>
      <c r="H695" s="10">
        <f>TRUNC(G695*D695,2)</f>
        <v>0</v>
      </c>
      <c r="I695" s="11">
        <f>단가대비표!V13</f>
        <v>0</v>
      </c>
      <c r="J695" s="10">
        <f>TRUNC(I695*D695,2)</f>
        <v>0</v>
      </c>
      <c r="K695" s="11">
        <f t="shared" si="159"/>
        <v>1656</v>
      </c>
      <c r="L695" s="10">
        <f t="shared" si="159"/>
        <v>1159.2</v>
      </c>
      <c r="M695" s="5" t="s">
        <v>51</v>
      </c>
      <c r="N695" s="1" t="s">
        <v>1527</v>
      </c>
      <c r="O695" s="1" t="s">
        <v>1537</v>
      </c>
      <c r="P695" s="1" t="s">
        <v>60</v>
      </c>
      <c r="Q695" s="1" t="s">
        <v>60</v>
      </c>
      <c r="R695" s="1" t="s">
        <v>61</v>
      </c>
      <c r="V695">
        <v>1</v>
      </c>
      <c r="AV695" s="1" t="s">
        <v>51</v>
      </c>
      <c r="AW695" s="1" t="s">
        <v>1538</v>
      </c>
      <c r="AX695" s="1" t="s">
        <v>51</v>
      </c>
      <c r="AY695" s="1" t="s">
        <v>51</v>
      </c>
    </row>
    <row r="696" spans="1:51" ht="30" customHeight="1" x14ac:dyDescent="0.3">
      <c r="A696" s="5" t="s">
        <v>1507</v>
      </c>
      <c r="B696" s="5" t="s">
        <v>1539</v>
      </c>
      <c r="C696" s="5" t="s">
        <v>631</v>
      </c>
      <c r="D696" s="6">
        <v>1</v>
      </c>
      <c r="E696" s="11">
        <f>TRUNC(SUMIF(V694:V697, RIGHTB(O696, 1), F694:F697)*U696, 2)</f>
        <v>115.92</v>
      </c>
      <c r="F696" s="10">
        <f>TRUNC(E696*D696,2)</f>
        <v>115.92</v>
      </c>
      <c r="G696" s="11">
        <v>0</v>
      </c>
      <c r="H696" s="10">
        <f>TRUNC(G696*D696,2)</f>
        <v>0</v>
      </c>
      <c r="I696" s="11">
        <v>0</v>
      </c>
      <c r="J696" s="10">
        <f>TRUNC(I696*D696,2)</f>
        <v>0</v>
      </c>
      <c r="K696" s="11">
        <f t="shared" si="159"/>
        <v>115.92</v>
      </c>
      <c r="L696" s="10">
        <f t="shared" si="159"/>
        <v>115.92</v>
      </c>
      <c r="M696" s="5" t="s">
        <v>51</v>
      </c>
      <c r="N696" s="1" t="s">
        <v>1527</v>
      </c>
      <c r="O696" s="1" t="s">
        <v>657</v>
      </c>
      <c r="P696" s="1" t="s">
        <v>60</v>
      </c>
      <c r="Q696" s="1" t="s">
        <v>60</v>
      </c>
      <c r="R696" s="1" t="s">
        <v>60</v>
      </c>
      <c r="S696">
        <v>0</v>
      </c>
      <c r="T696">
        <v>0</v>
      </c>
      <c r="U696">
        <v>0.1</v>
      </c>
      <c r="AV696" s="1" t="s">
        <v>51</v>
      </c>
      <c r="AW696" s="1" t="s">
        <v>1540</v>
      </c>
      <c r="AX696" s="1" t="s">
        <v>51</v>
      </c>
      <c r="AY696" s="1" t="s">
        <v>51</v>
      </c>
    </row>
    <row r="697" spans="1:51" ht="30" customHeight="1" x14ac:dyDescent="0.3">
      <c r="A697" s="5" t="s">
        <v>1541</v>
      </c>
      <c r="B697" s="5" t="s">
        <v>751</v>
      </c>
      <c r="C697" s="5" t="s">
        <v>752</v>
      </c>
      <c r="D697" s="6">
        <v>1</v>
      </c>
      <c r="E697" s="11">
        <f>TRUNC(단가대비표!O168*1/8*16/12*25/20, 1)</f>
        <v>0</v>
      </c>
      <c r="F697" s="10">
        <f>TRUNC(E697*D697,2)</f>
        <v>0</v>
      </c>
      <c r="G697" s="11">
        <f>TRUNC(단가대비표!P168*1/8*16/12*25/20, 1)</f>
        <v>36248.9</v>
      </c>
      <c r="H697" s="10">
        <f>TRUNC(G697*D697,2)</f>
        <v>36248.9</v>
      </c>
      <c r="I697" s="11">
        <f>TRUNC(단가대비표!V168*1/8*16/12*25/20, 1)</f>
        <v>0</v>
      </c>
      <c r="J697" s="10">
        <f>TRUNC(I697*D697,2)</f>
        <v>0</v>
      </c>
      <c r="K697" s="11">
        <f t="shared" si="159"/>
        <v>36248.9</v>
      </c>
      <c r="L697" s="10">
        <f t="shared" si="159"/>
        <v>36248.9</v>
      </c>
      <c r="M697" s="5" t="s">
        <v>1511</v>
      </c>
      <c r="N697" s="1" t="s">
        <v>1527</v>
      </c>
      <c r="O697" s="1" t="s">
        <v>1542</v>
      </c>
      <c r="P697" s="1" t="s">
        <v>60</v>
      </c>
      <c r="Q697" s="1" t="s">
        <v>60</v>
      </c>
      <c r="R697" s="1" t="s">
        <v>61</v>
      </c>
      <c r="AV697" s="1" t="s">
        <v>51</v>
      </c>
      <c r="AW697" s="1" t="s">
        <v>1543</v>
      </c>
      <c r="AX697" s="1" t="s">
        <v>61</v>
      </c>
      <c r="AY697" s="1" t="s">
        <v>51</v>
      </c>
    </row>
    <row r="698" spans="1:51" ht="30" customHeight="1" x14ac:dyDescent="0.3">
      <c r="A698" s="5" t="s">
        <v>762</v>
      </c>
      <c r="B698" s="5" t="s">
        <v>51</v>
      </c>
      <c r="C698" s="5" t="s">
        <v>51</v>
      </c>
      <c r="D698" s="6"/>
      <c r="E698" s="11"/>
      <c r="F698" s="10">
        <f>TRUNC(SUMIF(N694:N697, N693, F694:F697),0)</f>
        <v>1275</v>
      </c>
      <c r="G698" s="11"/>
      <c r="H698" s="10">
        <f>TRUNC(SUMIF(N694:N697, N693, H694:H697),0)</f>
        <v>36248</v>
      </c>
      <c r="I698" s="11"/>
      <c r="J698" s="10">
        <f>TRUNC(SUMIF(N694:N697, N693, J694:J697),0)</f>
        <v>412</v>
      </c>
      <c r="K698" s="11"/>
      <c r="L698" s="10">
        <f>F698+H698+J698</f>
        <v>37935</v>
      </c>
      <c r="M698" s="5" t="s">
        <v>51</v>
      </c>
      <c r="N698" s="1" t="s">
        <v>208</v>
      </c>
      <c r="O698" s="1" t="s">
        <v>208</v>
      </c>
      <c r="P698" s="1" t="s">
        <v>51</v>
      </c>
      <c r="Q698" s="1" t="s">
        <v>51</v>
      </c>
      <c r="R698" s="1" t="s">
        <v>51</v>
      </c>
      <c r="AV698" s="1" t="s">
        <v>51</v>
      </c>
      <c r="AW698" s="1" t="s">
        <v>51</v>
      </c>
      <c r="AX698" s="1" t="s">
        <v>51</v>
      </c>
      <c r="AY698" s="1" t="s">
        <v>51</v>
      </c>
    </row>
    <row r="699" spans="1:51" ht="30" customHeight="1" x14ac:dyDescent="0.3">
      <c r="A699" s="6"/>
      <c r="B699" s="6"/>
      <c r="C699" s="6"/>
      <c r="D699" s="6"/>
      <c r="E699" s="11"/>
      <c r="F699" s="10"/>
      <c r="G699" s="11"/>
      <c r="H699" s="10"/>
      <c r="I699" s="11"/>
      <c r="J699" s="10"/>
      <c r="K699" s="11"/>
      <c r="L699" s="10"/>
      <c r="M699" s="6"/>
    </row>
    <row r="700" spans="1:51" ht="30" customHeight="1" x14ac:dyDescent="0.3">
      <c r="A700" s="37" t="s">
        <v>1544</v>
      </c>
      <c r="B700" s="37"/>
      <c r="C700" s="37"/>
      <c r="D700" s="37"/>
      <c r="E700" s="38"/>
      <c r="F700" s="39"/>
      <c r="G700" s="38"/>
      <c r="H700" s="39"/>
      <c r="I700" s="38"/>
      <c r="J700" s="39"/>
      <c r="K700" s="38"/>
      <c r="L700" s="39"/>
      <c r="M700" s="37"/>
      <c r="N700" s="1" t="s">
        <v>1428</v>
      </c>
    </row>
    <row r="701" spans="1:51" ht="30" customHeight="1" x14ac:dyDescent="0.3">
      <c r="A701" s="5" t="s">
        <v>1545</v>
      </c>
      <c r="B701" s="5" t="s">
        <v>1546</v>
      </c>
      <c r="C701" s="5" t="s">
        <v>613</v>
      </c>
      <c r="D701" s="6">
        <v>4.25</v>
      </c>
      <c r="E701" s="11">
        <f>단가대비표!O43</f>
        <v>7300</v>
      </c>
      <c r="F701" s="10">
        <f t="shared" ref="F701:F706" si="160">TRUNC(E701*D701,2)</f>
        <v>31025</v>
      </c>
      <c r="G701" s="11">
        <f>단가대비표!P43</f>
        <v>0</v>
      </c>
      <c r="H701" s="10">
        <f t="shared" ref="H701:H706" si="161">TRUNC(G701*D701,2)</f>
        <v>0</v>
      </c>
      <c r="I701" s="11">
        <f>단가대비표!V43</f>
        <v>0</v>
      </c>
      <c r="J701" s="10">
        <f t="shared" ref="J701:J706" si="162">TRUNC(I701*D701,2)</f>
        <v>0</v>
      </c>
      <c r="K701" s="11">
        <f t="shared" ref="K701:L706" si="163">TRUNC(E701+G701+I701,2)</f>
        <v>7300</v>
      </c>
      <c r="L701" s="10">
        <f t="shared" si="163"/>
        <v>31025</v>
      </c>
      <c r="M701" s="5" t="s">
        <v>51</v>
      </c>
      <c r="N701" s="1" t="s">
        <v>1428</v>
      </c>
      <c r="O701" s="1" t="s">
        <v>1547</v>
      </c>
      <c r="P701" s="1" t="s">
        <v>60</v>
      </c>
      <c r="Q701" s="1" t="s">
        <v>60</v>
      </c>
      <c r="R701" s="1" t="s">
        <v>61</v>
      </c>
      <c r="AV701" s="1" t="s">
        <v>51</v>
      </c>
      <c r="AW701" s="1" t="s">
        <v>1548</v>
      </c>
      <c r="AX701" s="1" t="s">
        <v>51</v>
      </c>
      <c r="AY701" s="1" t="s">
        <v>51</v>
      </c>
    </row>
    <row r="702" spans="1:51" ht="30" customHeight="1" x14ac:dyDescent="0.3">
      <c r="A702" s="5" t="s">
        <v>901</v>
      </c>
      <c r="B702" s="5" t="s">
        <v>1549</v>
      </c>
      <c r="C702" s="5" t="s">
        <v>124</v>
      </c>
      <c r="D702" s="6">
        <v>0.48</v>
      </c>
      <c r="E702" s="11">
        <f>단가대비표!O11</f>
        <v>50000</v>
      </c>
      <c r="F702" s="10">
        <f t="shared" si="160"/>
        <v>24000</v>
      </c>
      <c r="G702" s="11">
        <f>단가대비표!P11</f>
        <v>0</v>
      </c>
      <c r="H702" s="10">
        <f t="shared" si="161"/>
        <v>0</v>
      </c>
      <c r="I702" s="11">
        <f>단가대비표!V11</f>
        <v>0</v>
      </c>
      <c r="J702" s="10">
        <f t="shared" si="162"/>
        <v>0</v>
      </c>
      <c r="K702" s="11">
        <f t="shared" si="163"/>
        <v>50000</v>
      </c>
      <c r="L702" s="10">
        <f t="shared" si="163"/>
        <v>24000</v>
      </c>
      <c r="M702" s="5" t="s">
        <v>51</v>
      </c>
      <c r="N702" s="1" t="s">
        <v>1428</v>
      </c>
      <c r="O702" s="1" t="s">
        <v>1550</v>
      </c>
      <c r="P702" s="1" t="s">
        <v>60</v>
      </c>
      <c r="Q702" s="1" t="s">
        <v>60</v>
      </c>
      <c r="R702" s="1" t="s">
        <v>61</v>
      </c>
      <c r="AV702" s="1" t="s">
        <v>51</v>
      </c>
      <c r="AW702" s="1" t="s">
        <v>1551</v>
      </c>
      <c r="AX702" s="1" t="s">
        <v>51</v>
      </c>
      <c r="AY702" s="1" t="s">
        <v>51</v>
      </c>
    </row>
    <row r="703" spans="1:51" ht="30" customHeight="1" x14ac:dyDescent="0.3">
      <c r="A703" s="5" t="s">
        <v>1481</v>
      </c>
      <c r="B703" s="5" t="s">
        <v>1552</v>
      </c>
      <c r="C703" s="5" t="s">
        <v>124</v>
      </c>
      <c r="D703" s="6">
        <v>0.96</v>
      </c>
      <c r="E703" s="11">
        <f>단가대비표!O9</f>
        <v>29000</v>
      </c>
      <c r="F703" s="10">
        <f t="shared" si="160"/>
        <v>27840</v>
      </c>
      <c r="G703" s="11">
        <f>단가대비표!P9</f>
        <v>0</v>
      </c>
      <c r="H703" s="10">
        <f t="shared" si="161"/>
        <v>0</v>
      </c>
      <c r="I703" s="11">
        <f>단가대비표!V9</f>
        <v>0</v>
      </c>
      <c r="J703" s="10">
        <f t="shared" si="162"/>
        <v>0</v>
      </c>
      <c r="K703" s="11">
        <f t="shared" si="163"/>
        <v>29000</v>
      </c>
      <c r="L703" s="10">
        <f t="shared" si="163"/>
        <v>27840</v>
      </c>
      <c r="M703" s="5" t="s">
        <v>51</v>
      </c>
      <c r="N703" s="1" t="s">
        <v>1428</v>
      </c>
      <c r="O703" s="1" t="s">
        <v>1553</v>
      </c>
      <c r="P703" s="1" t="s">
        <v>60</v>
      </c>
      <c r="Q703" s="1" t="s">
        <v>60</v>
      </c>
      <c r="R703" s="1" t="s">
        <v>61</v>
      </c>
      <c r="AV703" s="1" t="s">
        <v>51</v>
      </c>
      <c r="AW703" s="1" t="s">
        <v>1554</v>
      </c>
      <c r="AX703" s="1" t="s">
        <v>51</v>
      </c>
      <c r="AY703" s="1" t="s">
        <v>51</v>
      </c>
    </row>
    <row r="704" spans="1:51" ht="30" customHeight="1" x14ac:dyDescent="0.3">
      <c r="A704" s="5" t="s">
        <v>750</v>
      </c>
      <c r="B704" s="5" t="s">
        <v>751</v>
      </c>
      <c r="C704" s="5" t="s">
        <v>752</v>
      </c>
      <c r="D704" s="6">
        <v>0.82</v>
      </c>
      <c r="E704" s="11">
        <f>단가대비표!O162</f>
        <v>0</v>
      </c>
      <c r="F704" s="10">
        <f t="shared" si="160"/>
        <v>0</v>
      </c>
      <c r="G704" s="11">
        <f>단가대비표!P162</f>
        <v>172068</v>
      </c>
      <c r="H704" s="10">
        <f t="shared" si="161"/>
        <v>141095.76</v>
      </c>
      <c r="I704" s="11">
        <f>단가대비표!V162</f>
        <v>0</v>
      </c>
      <c r="J704" s="10">
        <f t="shared" si="162"/>
        <v>0</v>
      </c>
      <c r="K704" s="11">
        <f t="shared" si="163"/>
        <v>172068</v>
      </c>
      <c r="L704" s="10">
        <f t="shared" si="163"/>
        <v>141095.76</v>
      </c>
      <c r="M704" s="5" t="s">
        <v>51</v>
      </c>
      <c r="N704" s="1" t="s">
        <v>1428</v>
      </c>
      <c r="O704" s="1" t="s">
        <v>753</v>
      </c>
      <c r="P704" s="1" t="s">
        <v>60</v>
      </c>
      <c r="Q704" s="1" t="s">
        <v>60</v>
      </c>
      <c r="R704" s="1" t="s">
        <v>61</v>
      </c>
      <c r="V704">
        <v>1</v>
      </c>
      <c r="AV704" s="1" t="s">
        <v>51</v>
      </c>
      <c r="AW704" s="1" t="s">
        <v>1555</v>
      </c>
      <c r="AX704" s="1" t="s">
        <v>51</v>
      </c>
      <c r="AY704" s="1" t="s">
        <v>51</v>
      </c>
    </row>
    <row r="705" spans="1:51" ht="30" customHeight="1" x14ac:dyDescent="0.3">
      <c r="A705" s="5" t="s">
        <v>1556</v>
      </c>
      <c r="B705" s="5" t="s">
        <v>751</v>
      </c>
      <c r="C705" s="5" t="s">
        <v>752</v>
      </c>
      <c r="D705" s="6">
        <v>0.85</v>
      </c>
      <c r="E705" s="11">
        <f>단가대비표!O165</f>
        <v>0</v>
      </c>
      <c r="F705" s="10">
        <f t="shared" si="160"/>
        <v>0</v>
      </c>
      <c r="G705" s="11">
        <f>단가대비표!P165</f>
        <v>273540</v>
      </c>
      <c r="H705" s="10">
        <f t="shared" si="161"/>
        <v>232509</v>
      </c>
      <c r="I705" s="11">
        <f>단가대비표!V165</f>
        <v>0</v>
      </c>
      <c r="J705" s="10">
        <f t="shared" si="162"/>
        <v>0</v>
      </c>
      <c r="K705" s="11">
        <f t="shared" si="163"/>
        <v>273540</v>
      </c>
      <c r="L705" s="10">
        <f t="shared" si="163"/>
        <v>232509</v>
      </c>
      <c r="M705" s="5" t="s">
        <v>51</v>
      </c>
      <c r="N705" s="1" t="s">
        <v>1428</v>
      </c>
      <c r="O705" s="1" t="s">
        <v>1557</v>
      </c>
      <c r="P705" s="1" t="s">
        <v>60</v>
      </c>
      <c r="Q705" s="1" t="s">
        <v>60</v>
      </c>
      <c r="R705" s="1" t="s">
        <v>61</v>
      </c>
      <c r="V705">
        <v>1</v>
      </c>
      <c r="AV705" s="1" t="s">
        <v>51</v>
      </c>
      <c r="AW705" s="1" t="s">
        <v>1558</v>
      </c>
      <c r="AX705" s="1" t="s">
        <v>51</v>
      </c>
      <c r="AY705" s="1" t="s">
        <v>51</v>
      </c>
    </row>
    <row r="706" spans="1:51" ht="30" customHeight="1" x14ac:dyDescent="0.3">
      <c r="A706" s="5" t="s">
        <v>758</v>
      </c>
      <c r="B706" s="5" t="s">
        <v>772</v>
      </c>
      <c r="C706" s="5" t="s">
        <v>631</v>
      </c>
      <c r="D706" s="6">
        <v>1</v>
      </c>
      <c r="E706" s="11">
        <f>TRUNC(SUMIF(V701:V706, RIGHTB(O706, 1), H701:H706)*U706, 2)</f>
        <v>11208.14</v>
      </c>
      <c r="F706" s="10">
        <f t="shared" si="160"/>
        <v>11208.14</v>
      </c>
      <c r="G706" s="11">
        <v>0</v>
      </c>
      <c r="H706" s="10">
        <f t="shared" si="161"/>
        <v>0</v>
      </c>
      <c r="I706" s="11">
        <v>0</v>
      </c>
      <c r="J706" s="10">
        <f t="shared" si="162"/>
        <v>0</v>
      </c>
      <c r="K706" s="11">
        <f t="shared" si="163"/>
        <v>11208.14</v>
      </c>
      <c r="L706" s="10">
        <f t="shared" si="163"/>
        <v>11208.14</v>
      </c>
      <c r="M706" s="5" t="s">
        <v>51</v>
      </c>
      <c r="N706" s="1" t="s">
        <v>1428</v>
      </c>
      <c r="O706" s="1" t="s">
        <v>657</v>
      </c>
      <c r="P706" s="1" t="s">
        <v>60</v>
      </c>
      <c r="Q706" s="1" t="s">
        <v>60</v>
      </c>
      <c r="R706" s="1" t="s">
        <v>60</v>
      </c>
      <c r="S706">
        <v>1</v>
      </c>
      <c r="T706">
        <v>0</v>
      </c>
      <c r="U706">
        <v>0.03</v>
      </c>
      <c r="AV706" s="1" t="s">
        <v>51</v>
      </c>
      <c r="AW706" s="1" t="s">
        <v>1559</v>
      </c>
      <c r="AX706" s="1" t="s">
        <v>51</v>
      </c>
      <c r="AY706" s="1" t="s">
        <v>51</v>
      </c>
    </row>
    <row r="707" spans="1:51" ht="30" customHeight="1" x14ac:dyDescent="0.3">
      <c r="A707" s="5" t="s">
        <v>762</v>
      </c>
      <c r="B707" s="5" t="s">
        <v>51</v>
      </c>
      <c r="C707" s="5" t="s">
        <v>51</v>
      </c>
      <c r="D707" s="6"/>
      <c r="E707" s="11"/>
      <c r="F707" s="10">
        <f>TRUNC(SUMIF(N701:N706, N700, F701:F706),0)</f>
        <v>94073</v>
      </c>
      <c r="G707" s="11"/>
      <c r="H707" s="10">
        <f>TRUNC(SUMIF(N701:N706, N700, H701:H706),0)</f>
        <v>373604</v>
      </c>
      <c r="I707" s="11"/>
      <c r="J707" s="10">
        <f>TRUNC(SUMIF(N701:N706, N700, J701:J706),0)</f>
        <v>0</v>
      </c>
      <c r="K707" s="11"/>
      <c r="L707" s="10">
        <f>F707+H707+J707</f>
        <v>467677</v>
      </c>
      <c r="M707" s="5" t="s">
        <v>51</v>
      </c>
      <c r="N707" s="1" t="s">
        <v>208</v>
      </c>
      <c r="O707" s="1" t="s">
        <v>208</v>
      </c>
      <c r="P707" s="1" t="s">
        <v>51</v>
      </c>
      <c r="Q707" s="1" t="s">
        <v>51</v>
      </c>
      <c r="R707" s="1" t="s">
        <v>51</v>
      </c>
      <c r="AV707" s="1" t="s">
        <v>51</v>
      </c>
      <c r="AW707" s="1" t="s">
        <v>51</v>
      </c>
      <c r="AX707" s="1" t="s">
        <v>51</v>
      </c>
      <c r="AY707" s="1" t="s">
        <v>51</v>
      </c>
    </row>
  </sheetData>
  <mergeCells count="138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4:M4"/>
    <mergeCell ref="A14:M14"/>
    <mergeCell ref="A22:M22"/>
    <mergeCell ref="A29:M29"/>
    <mergeCell ref="A39:M39"/>
    <mergeCell ref="A49:M49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130:M130"/>
    <mergeCell ref="A139:M139"/>
    <mergeCell ref="A149:M149"/>
    <mergeCell ref="A155:M155"/>
    <mergeCell ref="A165:M165"/>
    <mergeCell ref="A173:M173"/>
    <mergeCell ref="A71:M71"/>
    <mergeCell ref="A80:M80"/>
    <mergeCell ref="A86:M86"/>
    <mergeCell ref="A93:M93"/>
    <mergeCell ref="A99:M99"/>
    <mergeCell ref="A121:M121"/>
    <mergeCell ref="A223:M223"/>
    <mergeCell ref="A231:M231"/>
    <mergeCell ref="A237:M237"/>
    <mergeCell ref="A243:M243"/>
    <mergeCell ref="A249:M249"/>
    <mergeCell ref="A255:M255"/>
    <mergeCell ref="A179:M179"/>
    <mergeCell ref="A185:M185"/>
    <mergeCell ref="A191:M191"/>
    <mergeCell ref="A199:M199"/>
    <mergeCell ref="A207:M207"/>
    <mergeCell ref="A215:M215"/>
    <mergeCell ref="A313:M313"/>
    <mergeCell ref="A321:M321"/>
    <mergeCell ref="A327:M327"/>
    <mergeCell ref="A333:M333"/>
    <mergeCell ref="A342:M342"/>
    <mergeCell ref="A348:M348"/>
    <mergeCell ref="A261:M261"/>
    <mergeCell ref="A267:M267"/>
    <mergeCell ref="A276:M276"/>
    <mergeCell ref="A285:M285"/>
    <mergeCell ref="A295:M295"/>
    <mergeCell ref="A305:M305"/>
    <mergeCell ref="A394:M394"/>
    <mergeCell ref="A400:M400"/>
    <mergeCell ref="A409:M409"/>
    <mergeCell ref="A418:M418"/>
    <mergeCell ref="A424:M424"/>
    <mergeCell ref="A432:M432"/>
    <mergeCell ref="A354:M354"/>
    <mergeCell ref="A362:M362"/>
    <mergeCell ref="A370:M370"/>
    <mergeCell ref="A376:M376"/>
    <mergeCell ref="A382:M382"/>
    <mergeCell ref="A388:M388"/>
    <mergeCell ref="A478:M478"/>
    <mergeCell ref="A484:M484"/>
    <mergeCell ref="A490:M490"/>
    <mergeCell ref="A496:M496"/>
    <mergeCell ref="A502:M502"/>
    <mergeCell ref="A508:M508"/>
    <mergeCell ref="A440:M440"/>
    <mergeCell ref="A448:M448"/>
    <mergeCell ref="A454:M454"/>
    <mergeCell ref="A460:M460"/>
    <mergeCell ref="A466:M466"/>
    <mergeCell ref="A472:M472"/>
    <mergeCell ref="A561:M561"/>
    <mergeCell ref="A571:M571"/>
    <mergeCell ref="A579:M579"/>
    <mergeCell ref="A587:M587"/>
    <mergeCell ref="A596:M596"/>
    <mergeCell ref="A605:M605"/>
    <mergeCell ref="A517:M517"/>
    <mergeCell ref="A525:M525"/>
    <mergeCell ref="A533:M533"/>
    <mergeCell ref="A539:M539"/>
    <mergeCell ref="A549:M549"/>
    <mergeCell ref="A555:M555"/>
    <mergeCell ref="A693:M693"/>
    <mergeCell ref="A700:M700"/>
    <mergeCell ref="A661:M661"/>
    <mergeCell ref="A665:M665"/>
    <mergeCell ref="A669:M669"/>
    <mergeCell ref="A673:M673"/>
    <mergeCell ref="A679:M679"/>
    <mergeCell ref="A686:M686"/>
    <mergeCell ref="A613:M613"/>
    <mergeCell ref="A621:M621"/>
    <mergeCell ref="A627:M627"/>
    <mergeCell ref="A635:M635"/>
    <mergeCell ref="A641:M641"/>
    <mergeCell ref="A653:M65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0A67-E6AF-43BA-9C58-29A0A9006BAA}">
  <sheetPr>
    <pageSetUpPr fitToPage="1"/>
  </sheetPr>
  <dimension ref="A1:AA318"/>
  <sheetViews>
    <sheetView view="pageBreakPreview" topLeftCell="B1" zoomScale="85" zoomScaleNormal="100" zoomScaleSheetLayoutView="85" workbookViewId="0">
      <selection activeCell="B46" sqref="B46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8" width="0" hidden="1" customWidth="1"/>
  </cols>
  <sheetData>
    <row r="1" spans="1:27" ht="30" customHeight="1" x14ac:dyDescent="0.3">
      <c r="A1" s="28" t="s">
        <v>1975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27" ht="30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27" ht="30" customHeight="1" x14ac:dyDescent="0.3">
      <c r="A3" s="2" t="s">
        <v>720</v>
      </c>
      <c r="B3" s="2" t="s">
        <v>2</v>
      </c>
      <c r="C3" s="2" t="s">
        <v>3</v>
      </c>
      <c r="D3" s="2" t="s">
        <v>4</v>
      </c>
      <c r="E3" s="2" t="s">
        <v>1976</v>
      </c>
      <c r="F3" s="2" t="s">
        <v>1977</v>
      </c>
      <c r="G3" s="2" t="s">
        <v>728</v>
      </c>
      <c r="H3" s="2" t="s">
        <v>1978</v>
      </c>
      <c r="I3" s="2" t="s">
        <v>1979</v>
      </c>
      <c r="J3" s="2" t="s">
        <v>1980</v>
      </c>
      <c r="K3" s="2" t="s">
        <v>1981</v>
      </c>
      <c r="L3" s="2" t="s">
        <v>1982</v>
      </c>
      <c r="M3" s="2" t="s">
        <v>1983</v>
      </c>
      <c r="N3" s="2" t="s">
        <v>1984</v>
      </c>
      <c r="O3" s="2" t="s">
        <v>725</v>
      </c>
      <c r="P3" s="2" t="s">
        <v>1985</v>
      </c>
      <c r="Q3" s="1" t="s">
        <v>51</v>
      </c>
      <c r="R3" s="1" t="s">
        <v>51</v>
      </c>
      <c r="S3" s="1" t="s">
        <v>51</v>
      </c>
      <c r="T3" s="1" t="s">
        <v>1986</v>
      </c>
      <c r="V3" s="1" t="s">
        <v>750</v>
      </c>
      <c r="W3" s="1" t="s">
        <v>751</v>
      </c>
      <c r="X3" s="1" t="s">
        <v>755</v>
      </c>
      <c r="Y3" s="1" t="s">
        <v>769</v>
      </c>
      <c r="Z3" s="1" t="s">
        <v>808</v>
      </c>
      <c r="AA3" s="1" t="s">
        <v>865</v>
      </c>
    </row>
    <row r="4" spans="1:27" ht="30" customHeight="1" x14ac:dyDescent="0.3">
      <c r="A4" s="40" t="s">
        <v>1987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27" ht="30" customHeight="1" x14ac:dyDescent="0.3">
      <c r="A5" s="15" t="s">
        <v>741</v>
      </c>
      <c r="B5" s="15" t="s">
        <v>740</v>
      </c>
      <c r="C5" s="15" t="s">
        <v>64</v>
      </c>
      <c r="D5" s="15" t="s">
        <v>65</v>
      </c>
      <c r="E5" s="15" t="s">
        <v>1988</v>
      </c>
      <c r="F5" s="16">
        <v>1</v>
      </c>
      <c r="G5" s="16"/>
      <c r="H5" s="16">
        <v>0</v>
      </c>
      <c r="I5" s="16"/>
      <c r="J5" s="16"/>
      <c r="K5" s="16">
        <v>1</v>
      </c>
      <c r="L5" s="15" t="s">
        <v>750</v>
      </c>
      <c r="M5" s="16">
        <f>0.022*(H5+100)/100*(I5+100)/100*(J5+100)/100</f>
        <v>2.1999999999999999E-2</v>
      </c>
      <c r="N5" s="16">
        <f>F5*M5</f>
        <v>2.1999999999999999E-2</v>
      </c>
      <c r="O5" s="15" t="s">
        <v>1854</v>
      </c>
      <c r="P5" s="15" t="s">
        <v>1989</v>
      </c>
      <c r="Q5" s="1" t="s">
        <v>67</v>
      </c>
      <c r="R5" s="1" t="s">
        <v>753</v>
      </c>
      <c r="S5">
        <v>2.1999999999999999E-2</v>
      </c>
      <c r="T5" s="1" t="s">
        <v>742</v>
      </c>
      <c r="V5">
        <f>N5</f>
        <v>2.1999999999999999E-2</v>
      </c>
    </row>
    <row r="6" spans="1:27" ht="30" customHeight="1" x14ac:dyDescent="0.3">
      <c r="A6" s="15" t="s">
        <v>51</v>
      </c>
      <c r="B6" s="15" t="s">
        <v>51</v>
      </c>
      <c r="C6" s="15" t="s">
        <v>51</v>
      </c>
      <c r="D6" s="15" t="s">
        <v>51</v>
      </c>
      <c r="E6" s="15" t="s">
        <v>51</v>
      </c>
      <c r="F6" s="16"/>
      <c r="G6" s="16"/>
      <c r="H6" s="16"/>
      <c r="I6" s="16"/>
      <c r="J6" s="16"/>
      <c r="K6" s="16"/>
      <c r="L6" s="15" t="s">
        <v>755</v>
      </c>
      <c r="M6" s="16">
        <f>0.009*(H5+100)/100*(I5+100)/100*(J5+100)/100</f>
        <v>8.9999999999999993E-3</v>
      </c>
      <c r="N6" s="16">
        <f>F5*M6</f>
        <v>8.9999999999999993E-3</v>
      </c>
      <c r="O6" s="15" t="s">
        <v>1865</v>
      </c>
      <c r="P6" s="15" t="s">
        <v>1990</v>
      </c>
      <c r="Q6" s="1" t="s">
        <v>67</v>
      </c>
      <c r="R6" s="1" t="s">
        <v>756</v>
      </c>
      <c r="S6">
        <v>8.9999999999999993E-3</v>
      </c>
      <c r="T6" s="1" t="s">
        <v>742</v>
      </c>
      <c r="X6">
        <f>N6</f>
        <v>8.9999999999999993E-3</v>
      </c>
    </row>
    <row r="7" spans="1:27" ht="30" customHeight="1" x14ac:dyDescent="0.3">
      <c r="A7" s="15" t="s">
        <v>741</v>
      </c>
      <c r="B7" s="15" t="s">
        <v>740</v>
      </c>
      <c r="C7" s="15" t="s">
        <v>64</v>
      </c>
      <c r="D7" s="15" t="s">
        <v>65</v>
      </c>
      <c r="E7" s="15" t="s">
        <v>1988</v>
      </c>
      <c r="F7" s="16">
        <v>0</v>
      </c>
      <c r="G7" s="16"/>
      <c r="H7" s="16">
        <v>0</v>
      </c>
      <c r="I7" s="16"/>
      <c r="J7" s="16"/>
      <c r="K7" s="16">
        <v>0.03</v>
      </c>
      <c r="L7" s="15" t="s">
        <v>750</v>
      </c>
      <c r="M7" s="16">
        <f>0.022*(H7+100)/100*(I7+100)/100*(J7+100)/100</f>
        <v>2.1999999999999999E-2</v>
      </c>
      <c r="N7" s="16">
        <f>F7*M7</f>
        <v>0</v>
      </c>
      <c r="O7" s="15" t="s">
        <v>1854</v>
      </c>
      <c r="P7" s="15" t="s">
        <v>1989</v>
      </c>
      <c r="Q7" s="1" t="s">
        <v>67</v>
      </c>
      <c r="R7" s="1" t="s">
        <v>753</v>
      </c>
      <c r="S7">
        <v>2.1999999999999999E-2</v>
      </c>
      <c r="T7" s="1" t="s">
        <v>742</v>
      </c>
      <c r="V7">
        <f>N7</f>
        <v>0</v>
      </c>
    </row>
    <row r="8" spans="1:27" ht="30" customHeight="1" x14ac:dyDescent="0.3">
      <c r="A8" s="15" t="s">
        <v>51</v>
      </c>
      <c r="B8" s="15" t="s">
        <v>51</v>
      </c>
      <c r="C8" s="15" t="s">
        <v>51</v>
      </c>
      <c r="D8" s="15" t="s">
        <v>51</v>
      </c>
      <c r="E8" s="15" t="s">
        <v>51</v>
      </c>
      <c r="F8" s="16"/>
      <c r="G8" s="16"/>
      <c r="H8" s="16"/>
      <c r="I8" s="16"/>
      <c r="J8" s="16"/>
      <c r="K8" s="16"/>
      <c r="L8" s="15" t="s">
        <v>755</v>
      </c>
      <c r="M8" s="16">
        <f>0.009*(H7+100)/100*(I7+100)/100*(J7+100)/100</f>
        <v>8.9999999999999993E-3</v>
      </c>
      <c r="N8" s="16">
        <f>F7*M8</f>
        <v>0</v>
      </c>
      <c r="O8" s="15" t="s">
        <v>1865</v>
      </c>
      <c r="P8" s="15" t="s">
        <v>1990</v>
      </c>
      <c r="Q8" s="1" t="s">
        <v>67</v>
      </c>
      <c r="R8" s="1" t="s">
        <v>756</v>
      </c>
      <c r="S8">
        <v>8.9999999999999993E-3</v>
      </c>
      <c r="T8" s="1" t="s">
        <v>742</v>
      </c>
      <c r="X8">
        <f>N8</f>
        <v>0</v>
      </c>
    </row>
    <row r="9" spans="1:27" ht="30" customHeight="1" x14ac:dyDescent="0.3">
      <c r="A9" s="15" t="s">
        <v>753</v>
      </c>
      <c r="B9" s="15" t="s">
        <v>750</v>
      </c>
      <c r="C9" s="15" t="s">
        <v>751</v>
      </c>
      <c r="D9" s="15" t="s">
        <v>752</v>
      </c>
      <c r="E9" s="15" t="s">
        <v>51</v>
      </c>
      <c r="F9" s="16">
        <f>SUM(V5:V8)</f>
        <v>2.1999999999999999E-2</v>
      </c>
      <c r="G9" s="16"/>
      <c r="H9" s="16"/>
      <c r="I9" s="16"/>
      <c r="J9" s="16"/>
      <c r="K9" s="16">
        <f>ROUND(F9*공량설정_일위대가!B2/100, 공량설정_일위대가!C3)</f>
        <v>2.1999999999999999E-2</v>
      </c>
      <c r="L9" s="15" t="s">
        <v>51</v>
      </c>
      <c r="M9" s="16"/>
      <c r="N9" s="16"/>
      <c r="O9" s="16" t="s">
        <v>1854</v>
      </c>
      <c r="P9" s="15" t="s">
        <v>51</v>
      </c>
      <c r="Q9" s="1" t="s">
        <v>67</v>
      </c>
      <c r="R9" s="1" t="s">
        <v>51</v>
      </c>
      <c r="T9" s="1" t="s">
        <v>754</v>
      </c>
    </row>
    <row r="10" spans="1:27" ht="30" customHeight="1" x14ac:dyDescent="0.3">
      <c r="A10" s="15" t="s">
        <v>756</v>
      </c>
      <c r="B10" s="15" t="s">
        <v>755</v>
      </c>
      <c r="C10" s="15" t="s">
        <v>751</v>
      </c>
      <c r="D10" s="15" t="s">
        <v>752</v>
      </c>
      <c r="E10" s="15" t="s">
        <v>51</v>
      </c>
      <c r="F10" s="16">
        <f>SUM(X5:X8)</f>
        <v>8.9999999999999993E-3</v>
      </c>
      <c r="G10" s="16"/>
      <c r="H10" s="16"/>
      <c r="I10" s="16"/>
      <c r="J10" s="16"/>
      <c r="K10" s="16">
        <f>ROUND(F10*공량설정_일위대가!B2/100, 공량설정_일위대가!C4)</f>
        <v>8.9999999999999993E-3</v>
      </c>
      <c r="L10" s="15" t="s">
        <v>51</v>
      </c>
      <c r="M10" s="16"/>
      <c r="N10" s="16"/>
      <c r="O10" s="16" t="s">
        <v>1865</v>
      </c>
      <c r="P10" s="15" t="s">
        <v>51</v>
      </c>
      <c r="Q10" s="1" t="s">
        <v>67</v>
      </c>
      <c r="R10" s="1" t="s">
        <v>51</v>
      </c>
      <c r="T10" s="1" t="s">
        <v>757</v>
      </c>
    </row>
    <row r="11" spans="1:27" ht="30" customHeight="1" x14ac:dyDescent="0.3">
      <c r="A11" s="40" t="s">
        <v>1991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</row>
    <row r="12" spans="1:27" ht="30" customHeight="1" x14ac:dyDescent="0.3">
      <c r="A12" s="15" t="s">
        <v>766</v>
      </c>
      <c r="B12" s="15" t="s">
        <v>764</v>
      </c>
      <c r="C12" s="15" t="s">
        <v>765</v>
      </c>
      <c r="D12" s="15" t="s">
        <v>65</v>
      </c>
      <c r="E12" s="15" t="s">
        <v>1992</v>
      </c>
      <c r="F12" s="16">
        <v>1</v>
      </c>
      <c r="G12" s="16"/>
      <c r="H12" s="16">
        <v>50</v>
      </c>
      <c r="I12" s="16"/>
      <c r="J12" s="16"/>
      <c r="K12" s="16">
        <v>1</v>
      </c>
      <c r="L12" s="15" t="s">
        <v>769</v>
      </c>
      <c r="M12" s="16">
        <f>0.011*(H12+100)/100*(I12+100)/100*(J12+100)/100</f>
        <v>1.6500000000000001E-2</v>
      </c>
      <c r="N12" s="16">
        <f>F12*M12</f>
        <v>1.6500000000000001E-2</v>
      </c>
      <c r="O12" s="15" t="s">
        <v>1862</v>
      </c>
      <c r="P12" s="15" t="s">
        <v>1993</v>
      </c>
      <c r="Q12" s="1" t="s">
        <v>72</v>
      </c>
      <c r="R12" s="1" t="s">
        <v>770</v>
      </c>
      <c r="S12">
        <v>1.0999999999999999E-2</v>
      </c>
      <c r="T12" s="1" t="s">
        <v>767</v>
      </c>
      <c r="Y12">
        <f>N12</f>
        <v>1.6500000000000001E-2</v>
      </c>
    </row>
    <row r="13" spans="1:27" ht="30" customHeight="1" x14ac:dyDescent="0.3">
      <c r="A13" s="15" t="s">
        <v>766</v>
      </c>
      <c r="B13" s="15" t="s">
        <v>764</v>
      </c>
      <c r="C13" s="15" t="s">
        <v>765</v>
      </c>
      <c r="D13" s="15" t="s">
        <v>65</v>
      </c>
      <c r="E13" s="15" t="s">
        <v>1992</v>
      </c>
      <c r="F13" s="16">
        <v>0</v>
      </c>
      <c r="G13" s="16"/>
      <c r="H13" s="16">
        <v>0</v>
      </c>
      <c r="I13" s="16"/>
      <c r="J13" s="16"/>
      <c r="K13" s="16">
        <v>0.1</v>
      </c>
      <c r="L13" s="15" t="s">
        <v>769</v>
      </c>
      <c r="M13" s="16">
        <f>0.011*(H13+100)/100*(I13+100)/100*(J13+100)/100</f>
        <v>1.0999999999999999E-2</v>
      </c>
      <c r="N13" s="16">
        <f>F13*M13</f>
        <v>0</v>
      </c>
      <c r="O13" s="15" t="s">
        <v>1862</v>
      </c>
      <c r="P13" s="15" t="s">
        <v>1994</v>
      </c>
      <c r="Q13" s="1" t="s">
        <v>72</v>
      </c>
      <c r="R13" s="1" t="s">
        <v>770</v>
      </c>
      <c r="S13">
        <v>1.0999999999999999E-2</v>
      </c>
      <c r="T13" s="1" t="s">
        <v>767</v>
      </c>
      <c r="Y13">
        <f>N13</f>
        <v>0</v>
      </c>
    </row>
    <row r="14" spans="1:27" ht="30" customHeight="1" x14ac:dyDescent="0.3">
      <c r="A14" s="15" t="s">
        <v>770</v>
      </c>
      <c r="B14" s="15" t="s">
        <v>769</v>
      </c>
      <c r="C14" s="15" t="s">
        <v>751</v>
      </c>
      <c r="D14" s="15" t="s">
        <v>752</v>
      </c>
      <c r="E14" s="15" t="s">
        <v>51</v>
      </c>
      <c r="F14" s="16">
        <f>SUM(Y12:Y13)</f>
        <v>1.6500000000000001E-2</v>
      </c>
      <c r="G14" s="16"/>
      <c r="H14" s="16"/>
      <c r="I14" s="16"/>
      <c r="J14" s="16"/>
      <c r="K14" s="16">
        <f>ROUND(F14*공량설정_일위대가!B5/100, 공량설정_일위대가!C6)</f>
        <v>1.6500000000000001E-2</v>
      </c>
      <c r="L14" s="15" t="s">
        <v>51</v>
      </c>
      <c r="M14" s="16"/>
      <c r="N14" s="16"/>
      <c r="O14" s="16" t="s">
        <v>1862</v>
      </c>
      <c r="P14" s="15" t="s">
        <v>51</v>
      </c>
      <c r="Q14" s="1" t="s">
        <v>72</v>
      </c>
      <c r="R14" s="1" t="s">
        <v>51</v>
      </c>
      <c r="T14" s="1" t="s">
        <v>771</v>
      </c>
    </row>
    <row r="15" spans="1:27" ht="30" customHeight="1" x14ac:dyDescent="0.3">
      <c r="A15" s="40" t="s">
        <v>1995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27" ht="30" customHeight="1" x14ac:dyDescent="0.3">
      <c r="A16" s="15" t="s">
        <v>777</v>
      </c>
      <c r="B16" s="15" t="s">
        <v>775</v>
      </c>
      <c r="C16" s="15" t="s">
        <v>776</v>
      </c>
      <c r="D16" s="15" t="s">
        <v>58</v>
      </c>
      <c r="E16" s="15" t="s">
        <v>1996</v>
      </c>
      <c r="F16" s="16">
        <v>1</v>
      </c>
      <c r="G16" s="16">
        <v>0</v>
      </c>
      <c r="H16" s="16"/>
      <c r="I16" s="16"/>
      <c r="J16" s="16"/>
      <c r="K16" s="16">
        <v>1</v>
      </c>
      <c r="L16" s="15" t="s">
        <v>750</v>
      </c>
      <c r="M16" s="16">
        <f>0.11*(H16+100)/100*(I16+100)/100*(J16+100)/100</f>
        <v>0.11</v>
      </c>
      <c r="N16" s="16">
        <f>F16*M16</f>
        <v>0.11</v>
      </c>
      <c r="O16" s="15" t="s">
        <v>1854</v>
      </c>
      <c r="P16" s="15" t="s">
        <v>1997</v>
      </c>
      <c r="Q16" s="1" t="s">
        <v>90</v>
      </c>
      <c r="R16" s="1" t="s">
        <v>753</v>
      </c>
      <c r="S16">
        <v>0.11</v>
      </c>
      <c r="T16" s="1" t="s">
        <v>778</v>
      </c>
      <c r="V16">
        <f>N16</f>
        <v>0.11</v>
      </c>
    </row>
    <row r="17" spans="1:26" ht="30" customHeight="1" x14ac:dyDescent="0.3">
      <c r="A17" s="15" t="s">
        <v>51</v>
      </c>
      <c r="B17" s="15" t="s">
        <v>51</v>
      </c>
      <c r="C17" s="15" t="s">
        <v>51</v>
      </c>
      <c r="D17" s="15" t="s">
        <v>51</v>
      </c>
      <c r="E17" s="15" t="s">
        <v>51</v>
      </c>
      <c r="F17" s="16"/>
      <c r="G17" s="16"/>
      <c r="H17" s="16"/>
      <c r="I17" s="16"/>
      <c r="J17" s="16"/>
      <c r="K17" s="16"/>
      <c r="L17" s="15" t="s">
        <v>755</v>
      </c>
      <c r="M17" s="16">
        <f>0.22*(H16+100)/100*(I16+100)/100*(J16+100)/100</f>
        <v>0.22</v>
      </c>
      <c r="N17" s="16">
        <f>F16*M17</f>
        <v>0.22</v>
      </c>
      <c r="O17" s="15" t="s">
        <v>1865</v>
      </c>
      <c r="P17" s="15" t="s">
        <v>1998</v>
      </c>
      <c r="Q17" s="1" t="s">
        <v>90</v>
      </c>
      <c r="R17" s="1" t="s">
        <v>756</v>
      </c>
      <c r="S17">
        <v>0.22</v>
      </c>
      <c r="T17" s="1" t="s">
        <v>778</v>
      </c>
      <c r="X17">
        <f>N17</f>
        <v>0.22</v>
      </c>
    </row>
    <row r="18" spans="1:26" ht="30" customHeight="1" x14ac:dyDescent="0.3">
      <c r="A18" s="15" t="s">
        <v>753</v>
      </c>
      <c r="B18" s="15" t="s">
        <v>750</v>
      </c>
      <c r="C18" s="15" t="s">
        <v>751</v>
      </c>
      <c r="D18" s="15" t="s">
        <v>752</v>
      </c>
      <c r="E18" s="15" t="s">
        <v>51</v>
      </c>
      <c r="F18" s="16">
        <f>SUM(V16:V17)</f>
        <v>0.11</v>
      </c>
      <c r="G18" s="16"/>
      <c r="H18" s="16"/>
      <c r="I18" s="16"/>
      <c r="J18" s="16"/>
      <c r="K18" s="16">
        <f>ROUND(F18*공량설정_일위대가!B7/100, 공량설정_일위대가!C8)</f>
        <v>0.11</v>
      </c>
      <c r="L18" s="15" t="s">
        <v>51</v>
      </c>
      <c r="M18" s="16"/>
      <c r="N18" s="16"/>
      <c r="O18" s="16" t="s">
        <v>1854</v>
      </c>
      <c r="P18" s="15" t="s">
        <v>51</v>
      </c>
      <c r="Q18" s="1" t="s">
        <v>90</v>
      </c>
      <c r="R18" s="1" t="s">
        <v>51</v>
      </c>
      <c r="T18" s="1" t="s">
        <v>779</v>
      </c>
    </row>
    <row r="19" spans="1:26" ht="30" customHeight="1" x14ac:dyDescent="0.3">
      <c r="A19" s="15" t="s">
        <v>756</v>
      </c>
      <c r="B19" s="15" t="s">
        <v>755</v>
      </c>
      <c r="C19" s="15" t="s">
        <v>751</v>
      </c>
      <c r="D19" s="15" t="s">
        <v>752</v>
      </c>
      <c r="E19" s="15" t="s">
        <v>51</v>
      </c>
      <c r="F19" s="16">
        <f>SUM(X16:X17)</f>
        <v>0.22</v>
      </c>
      <c r="G19" s="16"/>
      <c r="H19" s="16"/>
      <c r="I19" s="16"/>
      <c r="J19" s="16"/>
      <c r="K19" s="16">
        <f>ROUND(F19*공량설정_일위대가!B7/100, 공량설정_일위대가!C9)</f>
        <v>0.22</v>
      </c>
      <c r="L19" s="15" t="s">
        <v>51</v>
      </c>
      <c r="M19" s="16"/>
      <c r="N19" s="16"/>
      <c r="O19" s="16" t="s">
        <v>1865</v>
      </c>
      <c r="P19" s="15" t="s">
        <v>51</v>
      </c>
      <c r="Q19" s="1" t="s">
        <v>90</v>
      </c>
      <c r="R19" s="1" t="s">
        <v>51</v>
      </c>
      <c r="T19" s="1" t="s">
        <v>780</v>
      </c>
    </row>
    <row r="20" spans="1:26" ht="30" customHeight="1" x14ac:dyDescent="0.3">
      <c r="A20" s="40" t="s">
        <v>1999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</row>
    <row r="21" spans="1:26" ht="30" customHeight="1" x14ac:dyDescent="0.3">
      <c r="A21" s="15" t="s">
        <v>783</v>
      </c>
      <c r="B21" s="15" t="s">
        <v>740</v>
      </c>
      <c r="C21" s="15" t="s">
        <v>92</v>
      </c>
      <c r="D21" s="15" t="s">
        <v>65</v>
      </c>
      <c r="E21" s="15" t="s">
        <v>1988</v>
      </c>
      <c r="F21" s="16">
        <v>1</v>
      </c>
      <c r="G21" s="16"/>
      <c r="H21" s="16">
        <v>0</v>
      </c>
      <c r="I21" s="16"/>
      <c r="J21" s="16"/>
      <c r="K21" s="16">
        <v>1</v>
      </c>
      <c r="L21" s="15" t="s">
        <v>750</v>
      </c>
      <c r="M21" s="16">
        <f>0.048*(H21+100)/100*(I21+100)/100*(J21+100)/100</f>
        <v>4.8000000000000001E-2</v>
      </c>
      <c r="N21" s="16">
        <f>F21*M21</f>
        <v>4.8000000000000001E-2</v>
      </c>
      <c r="O21" s="15" t="s">
        <v>1854</v>
      </c>
      <c r="P21" s="15" t="s">
        <v>2000</v>
      </c>
      <c r="Q21" s="1" t="s">
        <v>94</v>
      </c>
      <c r="R21" s="1" t="s">
        <v>753</v>
      </c>
      <c r="S21">
        <v>4.8000000000000001E-2</v>
      </c>
      <c r="T21" s="1" t="s">
        <v>784</v>
      </c>
      <c r="V21">
        <f>N21</f>
        <v>4.8000000000000001E-2</v>
      </c>
    </row>
    <row r="22" spans="1:26" ht="30" customHeight="1" x14ac:dyDescent="0.3">
      <c r="A22" s="15" t="s">
        <v>51</v>
      </c>
      <c r="B22" s="15" t="s">
        <v>51</v>
      </c>
      <c r="C22" s="15" t="s">
        <v>51</v>
      </c>
      <c r="D22" s="15" t="s">
        <v>51</v>
      </c>
      <c r="E22" s="15" t="s">
        <v>51</v>
      </c>
      <c r="F22" s="16"/>
      <c r="G22" s="16"/>
      <c r="H22" s="16"/>
      <c r="I22" s="16"/>
      <c r="J22" s="16"/>
      <c r="K22" s="16"/>
      <c r="L22" s="15" t="s">
        <v>755</v>
      </c>
      <c r="M22" s="16">
        <f>0.016*(H21+100)/100*(I21+100)/100*(J21+100)/100</f>
        <v>1.6E-2</v>
      </c>
      <c r="N22" s="16">
        <f>F21*M22</f>
        <v>1.6E-2</v>
      </c>
      <c r="O22" s="15" t="s">
        <v>1865</v>
      </c>
      <c r="P22" s="15" t="s">
        <v>2001</v>
      </c>
      <c r="Q22" s="1" t="s">
        <v>94</v>
      </c>
      <c r="R22" s="1" t="s">
        <v>756</v>
      </c>
      <c r="S22">
        <v>1.6E-2</v>
      </c>
      <c r="T22" s="1" t="s">
        <v>784</v>
      </c>
      <c r="X22">
        <f>N22</f>
        <v>1.6E-2</v>
      </c>
    </row>
    <row r="23" spans="1:26" ht="30" customHeight="1" x14ac:dyDescent="0.3">
      <c r="A23" s="15" t="s">
        <v>783</v>
      </c>
      <c r="B23" s="15" t="s">
        <v>740</v>
      </c>
      <c r="C23" s="15" t="s">
        <v>92</v>
      </c>
      <c r="D23" s="15" t="s">
        <v>65</v>
      </c>
      <c r="E23" s="15" t="s">
        <v>1988</v>
      </c>
      <c r="F23" s="16">
        <v>0</v>
      </c>
      <c r="G23" s="16"/>
      <c r="H23" s="16">
        <v>0</v>
      </c>
      <c r="I23" s="16"/>
      <c r="J23" s="16"/>
      <c r="K23" s="16">
        <v>0.03</v>
      </c>
      <c r="L23" s="15" t="s">
        <v>750</v>
      </c>
      <c r="M23" s="16">
        <f>0.048*(H23+100)/100*(I23+100)/100*(J23+100)/100</f>
        <v>4.8000000000000001E-2</v>
      </c>
      <c r="N23" s="16">
        <f>F23*M23</f>
        <v>0</v>
      </c>
      <c r="O23" s="15" t="s">
        <v>1854</v>
      </c>
      <c r="P23" s="15" t="s">
        <v>2000</v>
      </c>
      <c r="Q23" s="1" t="s">
        <v>94</v>
      </c>
      <c r="R23" s="1" t="s">
        <v>753</v>
      </c>
      <c r="S23">
        <v>4.8000000000000001E-2</v>
      </c>
      <c r="T23" s="1" t="s">
        <v>784</v>
      </c>
      <c r="V23">
        <f>N23</f>
        <v>0</v>
      </c>
    </row>
    <row r="24" spans="1:26" ht="30" customHeight="1" x14ac:dyDescent="0.3">
      <c r="A24" s="15" t="s">
        <v>51</v>
      </c>
      <c r="B24" s="15" t="s">
        <v>51</v>
      </c>
      <c r="C24" s="15" t="s">
        <v>51</v>
      </c>
      <c r="D24" s="15" t="s">
        <v>51</v>
      </c>
      <c r="E24" s="15" t="s">
        <v>51</v>
      </c>
      <c r="F24" s="16"/>
      <c r="G24" s="16"/>
      <c r="H24" s="16"/>
      <c r="I24" s="16"/>
      <c r="J24" s="16"/>
      <c r="K24" s="16"/>
      <c r="L24" s="15" t="s">
        <v>755</v>
      </c>
      <c r="M24" s="16">
        <f>0.016*(H23+100)/100*(I23+100)/100*(J23+100)/100</f>
        <v>1.6E-2</v>
      </c>
      <c r="N24" s="16">
        <f>F23*M24</f>
        <v>0</v>
      </c>
      <c r="O24" s="15" t="s">
        <v>1865</v>
      </c>
      <c r="P24" s="15" t="s">
        <v>2001</v>
      </c>
      <c r="Q24" s="1" t="s">
        <v>94</v>
      </c>
      <c r="R24" s="1" t="s">
        <v>756</v>
      </c>
      <c r="S24">
        <v>1.6E-2</v>
      </c>
      <c r="T24" s="1" t="s">
        <v>784</v>
      </c>
      <c r="X24">
        <f>N24</f>
        <v>0</v>
      </c>
    </row>
    <row r="25" spans="1:26" ht="30" customHeight="1" x14ac:dyDescent="0.3">
      <c r="A25" s="15" t="s">
        <v>753</v>
      </c>
      <c r="B25" s="15" t="s">
        <v>750</v>
      </c>
      <c r="C25" s="15" t="s">
        <v>751</v>
      </c>
      <c r="D25" s="15" t="s">
        <v>752</v>
      </c>
      <c r="E25" s="15" t="s">
        <v>51</v>
      </c>
      <c r="F25" s="16">
        <f>SUM(V21:V24)</f>
        <v>4.8000000000000001E-2</v>
      </c>
      <c r="G25" s="16"/>
      <c r="H25" s="16"/>
      <c r="I25" s="16"/>
      <c r="J25" s="16"/>
      <c r="K25" s="16">
        <f>ROUND(F25*공량설정_일위대가!B10/100, 공량설정_일위대가!C11)</f>
        <v>4.8000000000000001E-2</v>
      </c>
      <c r="L25" s="15" t="s">
        <v>51</v>
      </c>
      <c r="M25" s="16"/>
      <c r="N25" s="16"/>
      <c r="O25" s="16" t="s">
        <v>1854</v>
      </c>
      <c r="P25" s="15" t="s">
        <v>51</v>
      </c>
      <c r="Q25" s="1" t="s">
        <v>94</v>
      </c>
      <c r="R25" s="1" t="s">
        <v>51</v>
      </c>
      <c r="T25" s="1" t="s">
        <v>788</v>
      </c>
    </row>
    <row r="26" spans="1:26" ht="30" customHeight="1" x14ac:dyDescent="0.3">
      <c r="A26" s="15" t="s">
        <v>756</v>
      </c>
      <c r="B26" s="15" t="s">
        <v>755</v>
      </c>
      <c r="C26" s="15" t="s">
        <v>751</v>
      </c>
      <c r="D26" s="15" t="s">
        <v>752</v>
      </c>
      <c r="E26" s="15" t="s">
        <v>51</v>
      </c>
      <c r="F26" s="16">
        <f>SUM(X21:X24)</f>
        <v>1.6E-2</v>
      </c>
      <c r="G26" s="16"/>
      <c r="H26" s="16"/>
      <c r="I26" s="16"/>
      <c r="J26" s="16"/>
      <c r="K26" s="16">
        <f>ROUND(F26*공량설정_일위대가!B10/100, 공량설정_일위대가!C12)</f>
        <v>1.6E-2</v>
      </c>
      <c r="L26" s="15" t="s">
        <v>51</v>
      </c>
      <c r="M26" s="16"/>
      <c r="N26" s="16"/>
      <c r="O26" s="16" t="s">
        <v>1865</v>
      </c>
      <c r="P26" s="15" t="s">
        <v>51</v>
      </c>
      <c r="Q26" s="1" t="s">
        <v>94</v>
      </c>
      <c r="R26" s="1" t="s">
        <v>51</v>
      </c>
      <c r="T26" s="1" t="s">
        <v>789</v>
      </c>
    </row>
    <row r="27" spans="1:26" ht="30" customHeight="1" x14ac:dyDescent="0.3">
      <c r="A27" s="40" t="s">
        <v>2002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26" ht="30" customHeight="1" x14ac:dyDescent="0.3">
      <c r="A28" s="15" t="s">
        <v>798</v>
      </c>
      <c r="B28" s="15" t="s">
        <v>796</v>
      </c>
      <c r="C28" s="15" t="s">
        <v>797</v>
      </c>
      <c r="D28" s="15" t="s">
        <v>58</v>
      </c>
      <c r="E28" s="15" t="s">
        <v>2003</v>
      </c>
      <c r="F28" s="16">
        <v>1</v>
      </c>
      <c r="G28" s="16">
        <v>0</v>
      </c>
      <c r="H28" s="16"/>
      <c r="I28" s="16"/>
      <c r="J28" s="16"/>
      <c r="K28" s="16">
        <v>1</v>
      </c>
      <c r="L28" s="15" t="s">
        <v>750</v>
      </c>
      <c r="M28" s="16">
        <f>0.1188*(H28+100)/100*(I28+100)/100*(J28+100)/100</f>
        <v>0.1188</v>
      </c>
      <c r="N28" s="16">
        <f>F28*M28</f>
        <v>0.1188</v>
      </c>
      <c r="O28" s="15" t="s">
        <v>1854</v>
      </c>
      <c r="P28" s="15" t="s">
        <v>2004</v>
      </c>
      <c r="Q28" s="1" t="s">
        <v>99</v>
      </c>
      <c r="R28" s="1" t="s">
        <v>753</v>
      </c>
      <c r="S28">
        <v>0.1188</v>
      </c>
      <c r="T28" s="1" t="s">
        <v>799</v>
      </c>
      <c r="V28">
        <f>N28</f>
        <v>0.1188</v>
      </c>
    </row>
    <row r="29" spans="1:26" ht="30" customHeight="1" x14ac:dyDescent="0.3">
      <c r="A29" s="15" t="s">
        <v>51</v>
      </c>
      <c r="B29" s="15" t="s">
        <v>51</v>
      </c>
      <c r="C29" s="15" t="s">
        <v>51</v>
      </c>
      <c r="D29" s="15" t="s">
        <v>51</v>
      </c>
      <c r="E29" s="15" t="s">
        <v>51</v>
      </c>
      <c r="F29" s="16"/>
      <c r="G29" s="16"/>
      <c r="H29" s="16"/>
      <c r="I29" s="16"/>
      <c r="J29" s="16"/>
      <c r="K29" s="16"/>
      <c r="L29" s="15" t="s">
        <v>808</v>
      </c>
      <c r="M29" s="16">
        <f>0.1188*(H28+100)/100*(I28+100)/100*(J28+100)/100</f>
        <v>0.1188</v>
      </c>
      <c r="N29" s="16">
        <f>F28*M29</f>
        <v>0.1188</v>
      </c>
      <c r="O29" s="15" t="s">
        <v>1863</v>
      </c>
      <c r="P29" s="15" t="s">
        <v>2004</v>
      </c>
      <c r="Q29" s="1" t="s">
        <v>99</v>
      </c>
      <c r="R29" s="1" t="s">
        <v>809</v>
      </c>
      <c r="S29">
        <v>0.1188</v>
      </c>
      <c r="T29" s="1" t="s">
        <v>799</v>
      </c>
      <c r="Z29">
        <f>N29</f>
        <v>0.1188</v>
      </c>
    </row>
    <row r="30" spans="1:26" ht="30" customHeight="1" x14ac:dyDescent="0.3">
      <c r="A30" s="15" t="s">
        <v>753</v>
      </c>
      <c r="B30" s="15" t="s">
        <v>750</v>
      </c>
      <c r="C30" s="15" t="s">
        <v>751</v>
      </c>
      <c r="D30" s="15" t="s">
        <v>752</v>
      </c>
      <c r="E30" s="15" t="s">
        <v>51</v>
      </c>
      <c r="F30" s="16">
        <f>SUM(V28:V29)</f>
        <v>0.1188</v>
      </c>
      <c r="G30" s="16"/>
      <c r="H30" s="16"/>
      <c r="I30" s="16"/>
      <c r="J30" s="16"/>
      <c r="K30" s="16">
        <f>ROUND(F30*공량설정_일위대가!B13/100, 공량설정_일위대가!C14)</f>
        <v>0.1188</v>
      </c>
      <c r="L30" s="15" t="s">
        <v>51</v>
      </c>
      <c r="M30" s="16"/>
      <c r="N30" s="16"/>
      <c r="O30" s="16" t="s">
        <v>1854</v>
      </c>
      <c r="P30" s="15" t="s">
        <v>51</v>
      </c>
      <c r="Q30" s="1" t="s">
        <v>99</v>
      </c>
      <c r="R30" s="1" t="s">
        <v>51</v>
      </c>
      <c r="T30" s="1" t="s">
        <v>807</v>
      </c>
    </row>
    <row r="31" spans="1:26" ht="30" customHeight="1" x14ac:dyDescent="0.3">
      <c r="A31" s="15" t="s">
        <v>809</v>
      </c>
      <c r="B31" s="15" t="s">
        <v>808</v>
      </c>
      <c r="C31" s="15" t="s">
        <v>751</v>
      </c>
      <c r="D31" s="15" t="s">
        <v>752</v>
      </c>
      <c r="E31" s="15" t="s">
        <v>51</v>
      </c>
      <c r="F31" s="16">
        <f>SUM(Z28:Z29)</f>
        <v>0.1188</v>
      </c>
      <c r="G31" s="16"/>
      <c r="H31" s="16"/>
      <c r="I31" s="16"/>
      <c r="J31" s="16"/>
      <c r="K31" s="16">
        <f>ROUND(F31*공량설정_일위대가!B13/100, 공량설정_일위대가!C15)</f>
        <v>0.1188</v>
      </c>
      <c r="L31" s="15" t="s">
        <v>51</v>
      </c>
      <c r="M31" s="16"/>
      <c r="N31" s="16"/>
      <c r="O31" s="16" t="s">
        <v>1863</v>
      </c>
      <c r="P31" s="15" t="s">
        <v>51</v>
      </c>
      <c r="Q31" s="1" t="s">
        <v>99</v>
      </c>
      <c r="R31" s="1" t="s">
        <v>51</v>
      </c>
      <c r="T31" s="1" t="s">
        <v>810</v>
      </c>
    </row>
    <row r="32" spans="1:26" ht="30" customHeight="1" x14ac:dyDescent="0.3">
      <c r="A32" s="40" t="s">
        <v>2005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26" ht="30" customHeight="1" x14ac:dyDescent="0.3">
      <c r="A33" s="15" t="s">
        <v>844</v>
      </c>
      <c r="B33" s="15" t="s">
        <v>842</v>
      </c>
      <c r="C33" s="15" t="s">
        <v>843</v>
      </c>
      <c r="D33" s="15" t="s">
        <v>58</v>
      </c>
      <c r="E33" s="15" t="s">
        <v>1992</v>
      </c>
      <c r="F33" s="16">
        <v>1</v>
      </c>
      <c r="G33" s="16">
        <v>0</v>
      </c>
      <c r="H33" s="16"/>
      <c r="I33" s="16"/>
      <c r="J33" s="16"/>
      <c r="K33" s="16">
        <v>1</v>
      </c>
      <c r="L33" s="15" t="s">
        <v>750</v>
      </c>
      <c r="M33" s="16">
        <f>0.08*(H33+100)/100*(I33+100)/100*(J33+100)/100</f>
        <v>0.08</v>
      </c>
      <c r="N33" s="16">
        <f>F33*M33</f>
        <v>0.08</v>
      </c>
      <c r="O33" s="15" t="s">
        <v>1854</v>
      </c>
      <c r="P33" s="15" t="s">
        <v>2006</v>
      </c>
      <c r="Q33" s="1" t="s">
        <v>104</v>
      </c>
      <c r="R33" s="1" t="s">
        <v>753</v>
      </c>
      <c r="S33">
        <v>0.08</v>
      </c>
      <c r="T33" s="1" t="s">
        <v>845</v>
      </c>
      <c r="V33">
        <f>N33</f>
        <v>0.08</v>
      </c>
    </row>
    <row r="34" spans="1:26" ht="30" customHeight="1" x14ac:dyDescent="0.3">
      <c r="A34" s="15" t="s">
        <v>51</v>
      </c>
      <c r="B34" s="15" t="s">
        <v>51</v>
      </c>
      <c r="C34" s="15" t="s">
        <v>51</v>
      </c>
      <c r="D34" s="15" t="s">
        <v>51</v>
      </c>
      <c r="E34" s="15" t="s">
        <v>51</v>
      </c>
      <c r="F34" s="16"/>
      <c r="G34" s="16"/>
      <c r="H34" s="16"/>
      <c r="I34" s="16"/>
      <c r="J34" s="16"/>
      <c r="K34" s="16"/>
      <c r="L34" s="15" t="s">
        <v>769</v>
      </c>
      <c r="M34" s="16">
        <f>0.11*(H33+100)/100*(I33+100)/100*(J33+100)/100</f>
        <v>0.11</v>
      </c>
      <c r="N34" s="16">
        <f>F33*M34</f>
        <v>0.11</v>
      </c>
      <c r="O34" s="15" t="s">
        <v>1862</v>
      </c>
      <c r="P34" s="15" t="s">
        <v>1997</v>
      </c>
      <c r="Q34" s="1" t="s">
        <v>104</v>
      </c>
      <c r="R34" s="1" t="s">
        <v>770</v>
      </c>
      <c r="S34">
        <v>0.11</v>
      </c>
      <c r="T34" s="1" t="s">
        <v>845</v>
      </c>
      <c r="Y34">
        <f>N34</f>
        <v>0.11</v>
      </c>
    </row>
    <row r="35" spans="1:26" ht="30" customHeight="1" x14ac:dyDescent="0.3">
      <c r="A35" s="15" t="s">
        <v>848</v>
      </c>
      <c r="B35" s="15" t="s">
        <v>846</v>
      </c>
      <c r="C35" s="15" t="s">
        <v>847</v>
      </c>
      <c r="D35" s="15" t="s">
        <v>65</v>
      </c>
      <c r="E35" s="15" t="s">
        <v>1992</v>
      </c>
      <c r="F35" s="16">
        <v>5</v>
      </c>
      <c r="G35" s="16">
        <v>10</v>
      </c>
      <c r="H35" s="16"/>
      <c r="I35" s="16"/>
      <c r="J35" s="16"/>
      <c r="K35" s="16">
        <v>5</v>
      </c>
      <c r="L35" s="15" t="s">
        <v>769</v>
      </c>
      <c r="M35" s="16">
        <f>0.007*(H35+100)/100*(I35+100)/100*(J35+100)/100</f>
        <v>7.000000000000001E-3</v>
      </c>
      <c r="N35" s="16">
        <f>F35*M35</f>
        <v>3.5000000000000003E-2</v>
      </c>
      <c r="O35" s="15" t="s">
        <v>1862</v>
      </c>
      <c r="P35" s="15" t="s">
        <v>2007</v>
      </c>
      <c r="Q35" s="1" t="s">
        <v>104</v>
      </c>
      <c r="R35" s="1" t="s">
        <v>770</v>
      </c>
      <c r="S35">
        <v>7.0000000000000001E-3</v>
      </c>
      <c r="T35" s="1" t="s">
        <v>849</v>
      </c>
      <c r="Y35">
        <f>N35</f>
        <v>3.5000000000000003E-2</v>
      </c>
    </row>
    <row r="36" spans="1:26" ht="30" customHeight="1" x14ac:dyDescent="0.3">
      <c r="A36" s="15" t="s">
        <v>753</v>
      </c>
      <c r="B36" s="15" t="s">
        <v>750</v>
      </c>
      <c r="C36" s="15" t="s">
        <v>751</v>
      </c>
      <c r="D36" s="15" t="s">
        <v>752</v>
      </c>
      <c r="E36" s="15" t="s">
        <v>51</v>
      </c>
      <c r="F36" s="16">
        <f>SUM(V33:V35)</f>
        <v>0.08</v>
      </c>
      <c r="G36" s="16"/>
      <c r="H36" s="16"/>
      <c r="I36" s="16"/>
      <c r="J36" s="16"/>
      <c r="K36" s="16">
        <f>ROUND(F36*공량설정_일위대가!B16/100, 공량설정_일위대가!C18)</f>
        <v>0.08</v>
      </c>
      <c r="L36" s="15" t="s">
        <v>51</v>
      </c>
      <c r="M36" s="16"/>
      <c r="N36" s="16"/>
      <c r="O36" s="16" t="s">
        <v>1854</v>
      </c>
      <c r="P36" s="15" t="s">
        <v>51</v>
      </c>
      <c r="Q36" s="1" t="s">
        <v>104</v>
      </c>
      <c r="R36" s="1" t="s">
        <v>51</v>
      </c>
      <c r="T36" s="1" t="s">
        <v>864</v>
      </c>
    </row>
    <row r="37" spans="1:26" ht="30" customHeight="1" x14ac:dyDescent="0.3">
      <c r="A37" s="15" t="s">
        <v>770</v>
      </c>
      <c r="B37" s="15" t="s">
        <v>769</v>
      </c>
      <c r="C37" s="15" t="s">
        <v>751</v>
      </c>
      <c r="D37" s="15" t="s">
        <v>752</v>
      </c>
      <c r="E37" s="15" t="s">
        <v>51</v>
      </c>
      <c r="F37" s="16">
        <f>SUM(Y33:Y35)</f>
        <v>0.14500000000000002</v>
      </c>
      <c r="G37" s="16"/>
      <c r="H37" s="16"/>
      <c r="I37" s="16"/>
      <c r="J37" s="16"/>
      <c r="K37" s="16">
        <f>ROUND(F37*공량설정_일위대가!B16/100, 공량설정_일위대가!C17)</f>
        <v>0.14499999999999999</v>
      </c>
      <c r="L37" s="15" t="s">
        <v>51</v>
      </c>
      <c r="M37" s="16"/>
      <c r="N37" s="16"/>
      <c r="O37" s="16" t="s">
        <v>1862</v>
      </c>
      <c r="P37" s="15" t="s">
        <v>51</v>
      </c>
      <c r="Q37" s="1" t="s">
        <v>104</v>
      </c>
      <c r="R37" s="1" t="s">
        <v>51</v>
      </c>
      <c r="T37" s="1" t="s">
        <v>863</v>
      </c>
    </row>
    <row r="38" spans="1:26" ht="30" customHeight="1" x14ac:dyDescent="0.3">
      <c r="A38" s="40" t="s">
        <v>2008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</row>
    <row r="39" spans="1:26" ht="30" customHeight="1" x14ac:dyDescent="0.3">
      <c r="A39" s="15" t="s">
        <v>883</v>
      </c>
      <c r="B39" s="15" t="s">
        <v>106</v>
      </c>
      <c r="C39" s="15" t="s">
        <v>882</v>
      </c>
      <c r="D39" s="15" t="s">
        <v>65</v>
      </c>
      <c r="E39" s="15" t="s">
        <v>2009</v>
      </c>
      <c r="F39" s="16">
        <v>1</v>
      </c>
      <c r="G39" s="16"/>
      <c r="H39" s="16">
        <v>-13</v>
      </c>
      <c r="I39" s="16"/>
      <c r="J39" s="16"/>
      <c r="K39" s="16">
        <v>1</v>
      </c>
      <c r="L39" s="15" t="s">
        <v>750</v>
      </c>
      <c r="M39" s="16">
        <f>0.00846*(H39+100)/100*(I39+100)/100*(J39+100)/100</f>
        <v>7.3601999999999999E-3</v>
      </c>
      <c r="N39" s="16">
        <f>F39*M39</f>
        <v>7.3601999999999999E-3</v>
      </c>
      <c r="O39" s="15" t="s">
        <v>1854</v>
      </c>
      <c r="P39" s="15" t="s">
        <v>2010</v>
      </c>
      <c r="Q39" s="1" t="s">
        <v>109</v>
      </c>
      <c r="R39" s="1" t="s">
        <v>753</v>
      </c>
      <c r="S39">
        <v>8.4600000000000005E-3</v>
      </c>
      <c r="T39" s="1" t="s">
        <v>884</v>
      </c>
      <c r="V39">
        <f>N39</f>
        <v>7.3601999999999999E-3</v>
      </c>
    </row>
    <row r="40" spans="1:26" ht="30" customHeight="1" x14ac:dyDescent="0.3">
      <c r="A40" s="15" t="s">
        <v>51</v>
      </c>
      <c r="B40" s="15" t="s">
        <v>51</v>
      </c>
      <c r="C40" s="15" t="s">
        <v>51</v>
      </c>
      <c r="D40" s="15" t="s">
        <v>51</v>
      </c>
      <c r="E40" s="15" t="s">
        <v>51</v>
      </c>
      <c r="F40" s="16"/>
      <c r="G40" s="16"/>
      <c r="H40" s="16"/>
      <c r="I40" s="16"/>
      <c r="J40" s="16"/>
      <c r="K40" s="16"/>
      <c r="L40" s="15" t="s">
        <v>808</v>
      </c>
      <c r="M40" s="16">
        <f>0.00846*(H39+100)/100*(I39+100)/100*(J39+100)/100</f>
        <v>7.3601999999999999E-3</v>
      </c>
      <c r="N40" s="16">
        <f>F39*M40</f>
        <v>7.3601999999999999E-3</v>
      </c>
      <c r="O40" s="15" t="s">
        <v>1863</v>
      </c>
      <c r="P40" s="15" t="s">
        <v>2010</v>
      </c>
      <c r="Q40" s="1" t="s">
        <v>109</v>
      </c>
      <c r="R40" s="1" t="s">
        <v>809</v>
      </c>
      <c r="S40">
        <v>8.4600000000000005E-3</v>
      </c>
      <c r="T40" s="1" t="s">
        <v>884</v>
      </c>
      <c r="Z40">
        <f>N40</f>
        <v>7.3601999999999999E-3</v>
      </c>
    </row>
    <row r="41" spans="1:26" ht="30" customHeight="1" x14ac:dyDescent="0.3">
      <c r="A41" s="15" t="s">
        <v>883</v>
      </c>
      <c r="B41" s="15" t="s">
        <v>106</v>
      </c>
      <c r="C41" s="15" t="s">
        <v>882</v>
      </c>
      <c r="D41" s="15" t="s">
        <v>65</v>
      </c>
      <c r="E41" s="15" t="s">
        <v>2009</v>
      </c>
      <c r="F41" s="16">
        <v>0</v>
      </c>
      <c r="G41" s="16"/>
      <c r="H41" s="16">
        <v>0</v>
      </c>
      <c r="I41" s="16"/>
      <c r="J41" s="16"/>
      <c r="K41" s="16">
        <v>0.03</v>
      </c>
      <c r="L41" s="15" t="s">
        <v>750</v>
      </c>
      <c r="M41" s="16">
        <f>0.00846*(H41+100)/100*(I41+100)/100*(J41+100)/100</f>
        <v>8.4600000000000005E-3</v>
      </c>
      <c r="N41" s="16">
        <f>F41*M41</f>
        <v>0</v>
      </c>
      <c r="O41" s="15" t="s">
        <v>1854</v>
      </c>
      <c r="P41" s="15" t="s">
        <v>2011</v>
      </c>
      <c r="Q41" s="1" t="s">
        <v>109</v>
      </c>
      <c r="R41" s="1" t="s">
        <v>753</v>
      </c>
      <c r="S41">
        <v>8.4600000000000005E-3</v>
      </c>
      <c r="T41" s="1" t="s">
        <v>884</v>
      </c>
      <c r="V41">
        <f>N41</f>
        <v>0</v>
      </c>
    </row>
    <row r="42" spans="1:26" ht="30" customHeight="1" x14ac:dyDescent="0.3">
      <c r="A42" s="15" t="s">
        <v>51</v>
      </c>
      <c r="B42" s="15" t="s">
        <v>51</v>
      </c>
      <c r="C42" s="15" t="s">
        <v>51</v>
      </c>
      <c r="D42" s="15" t="s">
        <v>51</v>
      </c>
      <c r="E42" s="15" t="s">
        <v>51</v>
      </c>
      <c r="F42" s="16"/>
      <c r="G42" s="16"/>
      <c r="H42" s="16"/>
      <c r="I42" s="16"/>
      <c r="J42" s="16"/>
      <c r="K42" s="16"/>
      <c r="L42" s="15" t="s">
        <v>808</v>
      </c>
      <c r="M42" s="16">
        <f>0.00846*(H41+100)/100*(I41+100)/100*(J41+100)/100</f>
        <v>8.4600000000000005E-3</v>
      </c>
      <c r="N42" s="16">
        <f>F41*M42</f>
        <v>0</v>
      </c>
      <c r="O42" s="15" t="s">
        <v>1863</v>
      </c>
      <c r="P42" s="15" t="s">
        <v>2011</v>
      </c>
      <c r="Q42" s="1" t="s">
        <v>109</v>
      </c>
      <c r="R42" s="1" t="s">
        <v>809</v>
      </c>
      <c r="S42">
        <v>8.4600000000000005E-3</v>
      </c>
      <c r="T42" s="1" t="s">
        <v>884</v>
      </c>
      <c r="Z42">
        <f>N42</f>
        <v>0</v>
      </c>
    </row>
    <row r="43" spans="1:26" ht="30" customHeight="1" x14ac:dyDescent="0.3">
      <c r="A43" s="15" t="s">
        <v>753</v>
      </c>
      <c r="B43" s="15" t="s">
        <v>750</v>
      </c>
      <c r="C43" s="15" t="s">
        <v>751</v>
      </c>
      <c r="D43" s="15" t="s">
        <v>752</v>
      </c>
      <c r="E43" s="15" t="s">
        <v>51</v>
      </c>
      <c r="F43" s="16">
        <f>SUM(V39:V42)</f>
        <v>7.3601999999999999E-3</v>
      </c>
      <c r="G43" s="16"/>
      <c r="H43" s="16"/>
      <c r="I43" s="16"/>
      <c r="J43" s="16"/>
      <c r="K43" s="16">
        <f>ROUND(F43*공량설정_일위대가!B24/100, 공량설정_일위대가!C26)</f>
        <v>7.4000000000000003E-3</v>
      </c>
      <c r="L43" s="15" t="s">
        <v>51</v>
      </c>
      <c r="M43" s="16"/>
      <c r="N43" s="16"/>
      <c r="O43" s="16" t="s">
        <v>1854</v>
      </c>
      <c r="P43" s="15" t="s">
        <v>51</v>
      </c>
      <c r="Q43" s="1" t="s">
        <v>109</v>
      </c>
      <c r="R43" s="1" t="s">
        <v>51</v>
      </c>
      <c r="T43" s="1" t="s">
        <v>887</v>
      </c>
    </row>
    <row r="44" spans="1:26" ht="30" customHeight="1" x14ac:dyDescent="0.3">
      <c r="A44" s="15" t="s">
        <v>809</v>
      </c>
      <c r="B44" s="15" t="s">
        <v>808</v>
      </c>
      <c r="C44" s="15" t="s">
        <v>751</v>
      </c>
      <c r="D44" s="15" t="s">
        <v>752</v>
      </c>
      <c r="E44" s="15" t="s">
        <v>51</v>
      </c>
      <c r="F44" s="16">
        <f>SUM(Z39:Z42)</f>
        <v>7.3601999999999999E-3</v>
      </c>
      <c r="G44" s="16"/>
      <c r="H44" s="16"/>
      <c r="I44" s="16"/>
      <c r="J44" s="16"/>
      <c r="K44" s="16">
        <f>ROUND(F44*공량설정_일위대가!B24/100, 공량설정_일위대가!C25)</f>
        <v>7.4000000000000003E-3</v>
      </c>
      <c r="L44" s="15" t="s">
        <v>51</v>
      </c>
      <c r="M44" s="16"/>
      <c r="N44" s="16"/>
      <c r="O44" s="16" t="s">
        <v>1863</v>
      </c>
      <c r="P44" s="15" t="s">
        <v>51</v>
      </c>
      <c r="Q44" s="1" t="s">
        <v>109</v>
      </c>
      <c r="R44" s="1" t="s">
        <v>51</v>
      </c>
      <c r="T44" s="1" t="s">
        <v>886</v>
      </c>
    </row>
    <row r="45" spans="1:26" ht="30" customHeight="1" x14ac:dyDescent="0.3">
      <c r="A45" s="40" t="s">
        <v>2012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</row>
    <row r="46" spans="1:26" ht="30" customHeight="1" x14ac:dyDescent="0.3">
      <c r="A46" s="15" t="s">
        <v>891</v>
      </c>
      <c r="B46" s="15" t="s">
        <v>111</v>
      </c>
      <c r="C46" s="15" t="s">
        <v>890</v>
      </c>
      <c r="D46" s="15" t="s">
        <v>58</v>
      </c>
      <c r="E46" s="15" t="s">
        <v>2013</v>
      </c>
      <c r="F46" s="16">
        <v>1</v>
      </c>
      <c r="G46" s="16"/>
      <c r="H46" s="16">
        <v>0</v>
      </c>
      <c r="I46" s="16"/>
      <c r="J46" s="16"/>
      <c r="K46" s="16">
        <v>1</v>
      </c>
      <c r="L46" s="15" t="s">
        <v>808</v>
      </c>
      <c r="M46" s="16">
        <f>0.86*(H46+100)/100*(I46+100)/100*(J46+100)/100</f>
        <v>0.86</v>
      </c>
      <c r="N46" s="16">
        <f>F46*M46</f>
        <v>0.86</v>
      </c>
      <c r="O46" s="15" t="s">
        <v>1863</v>
      </c>
      <c r="P46" s="15" t="s">
        <v>2014</v>
      </c>
      <c r="Q46" s="1" t="s">
        <v>115</v>
      </c>
      <c r="R46" s="1" t="s">
        <v>809</v>
      </c>
      <c r="S46">
        <v>0.86</v>
      </c>
      <c r="T46" s="1" t="s">
        <v>892</v>
      </c>
      <c r="Z46">
        <f>N46</f>
        <v>0.86</v>
      </c>
    </row>
    <row r="47" spans="1:26" ht="30" customHeight="1" x14ac:dyDescent="0.3">
      <c r="A47" s="15" t="s">
        <v>809</v>
      </c>
      <c r="B47" s="15" t="s">
        <v>808</v>
      </c>
      <c r="C47" s="15" t="s">
        <v>751</v>
      </c>
      <c r="D47" s="15" t="s">
        <v>752</v>
      </c>
      <c r="E47" s="15" t="s">
        <v>51</v>
      </c>
      <c r="F47" s="16">
        <f>SUM(Z46:Z46)</f>
        <v>0.86</v>
      </c>
      <c r="G47" s="16"/>
      <c r="H47" s="16"/>
      <c r="I47" s="16"/>
      <c r="J47" s="16"/>
      <c r="K47" s="16">
        <f>ROUND(F47*공량설정_일위대가!B27/100, 공량설정_일위대가!C28)</f>
        <v>0.86</v>
      </c>
      <c r="L47" s="15" t="s">
        <v>51</v>
      </c>
      <c r="M47" s="16"/>
      <c r="N47" s="16"/>
      <c r="O47" s="16" t="s">
        <v>1863</v>
      </c>
      <c r="P47" s="15" t="s">
        <v>51</v>
      </c>
      <c r="Q47" s="1" t="s">
        <v>115</v>
      </c>
      <c r="R47" s="1" t="s">
        <v>51</v>
      </c>
      <c r="T47" s="1" t="s">
        <v>893</v>
      </c>
    </row>
    <row r="48" spans="1:26" ht="30" customHeight="1" x14ac:dyDescent="0.3">
      <c r="A48" s="40" t="s">
        <v>2015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</row>
    <row r="49" spans="1:25" ht="30" customHeight="1" x14ac:dyDescent="0.3">
      <c r="A49" s="15" t="s">
        <v>844</v>
      </c>
      <c r="B49" s="15" t="s">
        <v>842</v>
      </c>
      <c r="C49" s="15" t="s">
        <v>843</v>
      </c>
      <c r="D49" s="15" t="s">
        <v>58</v>
      </c>
      <c r="E49" s="15" t="s">
        <v>1992</v>
      </c>
      <c r="F49" s="16">
        <v>1</v>
      </c>
      <c r="G49" s="16"/>
      <c r="H49" s="16">
        <v>0</v>
      </c>
      <c r="I49" s="16"/>
      <c r="J49" s="16"/>
      <c r="K49" s="16">
        <v>1</v>
      </c>
      <c r="L49" s="15" t="s">
        <v>750</v>
      </c>
      <c r="M49" s="16">
        <f>0.08*(H49+100)/100*(I49+100)/100*(J49+100)/100</f>
        <v>0.08</v>
      </c>
      <c r="N49" s="16">
        <f>F49*M49</f>
        <v>0.08</v>
      </c>
      <c r="O49" s="15" t="s">
        <v>1854</v>
      </c>
      <c r="P49" s="15" t="s">
        <v>2006</v>
      </c>
      <c r="Q49" s="1" t="s">
        <v>120</v>
      </c>
      <c r="R49" s="1" t="s">
        <v>753</v>
      </c>
      <c r="S49">
        <v>0.08</v>
      </c>
      <c r="T49" s="1" t="s">
        <v>896</v>
      </c>
      <c r="V49">
        <f>N49</f>
        <v>0.08</v>
      </c>
    </row>
    <row r="50" spans="1:25" ht="30" customHeight="1" x14ac:dyDescent="0.3">
      <c r="A50" s="15" t="s">
        <v>51</v>
      </c>
      <c r="B50" s="15" t="s">
        <v>51</v>
      </c>
      <c r="C50" s="15" t="s">
        <v>51</v>
      </c>
      <c r="D50" s="15" t="s">
        <v>51</v>
      </c>
      <c r="E50" s="15" t="s">
        <v>51</v>
      </c>
      <c r="F50" s="16"/>
      <c r="G50" s="16"/>
      <c r="H50" s="16"/>
      <c r="I50" s="16"/>
      <c r="J50" s="16"/>
      <c r="K50" s="16"/>
      <c r="L50" s="15" t="s">
        <v>769</v>
      </c>
      <c r="M50" s="16">
        <f>0.11*(H49+100)/100*(I49+100)/100*(J49+100)/100</f>
        <v>0.11</v>
      </c>
      <c r="N50" s="16">
        <f>F49*M50</f>
        <v>0.11</v>
      </c>
      <c r="O50" s="15" t="s">
        <v>1862</v>
      </c>
      <c r="P50" s="15" t="s">
        <v>1997</v>
      </c>
      <c r="Q50" s="1" t="s">
        <v>120</v>
      </c>
      <c r="R50" s="1" t="s">
        <v>770</v>
      </c>
      <c r="S50">
        <v>0.11</v>
      </c>
      <c r="T50" s="1" t="s">
        <v>896</v>
      </c>
      <c r="Y50">
        <f>N50</f>
        <v>0.11</v>
      </c>
    </row>
    <row r="51" spans="1:25" ht="30" customHeight="1" x14ac:dyDescent="0.3">
      <c r="A51" s="15" t="s">
        <v>753</v>
      </c>
      <c r="B51" s="15" t="s">
        <v>750</v>
      </c>
      <c r="C51" s="15" t="s">
        <v>751</v>
      </c>
      <c r="D51" s="15" t="s">
        <v>752</v>
      </c>
      <c r="E51" s="15" t="s">
        <v>51</v>
      </c>
      <c r="F51" s="16">
        <f>SUM(V49:V50)</f>
        <v>0.08</v>
      </c>
      <c r="G51" s="16"/>
      <c r="H51" s="16"/>
      <c r="I51" s="16"/>
      <c r="J51" s="16"/>
      <c r="K51" s="16">
        <f>ROUND(F51*공량설정_일위대가!B29/100, 공량설정_일위대가!C31)</f>
        <v>0.08</v>
      </c>
      <c r="L51" s="15" t="s">
        <v>51</v>
      </c>
      <c r="M51" s="16"/>
      <c r="N51" s="16"/>
      <c r="O51" s="16" t="s">
        <v>1854</v>
      </c>
      <c r="P51" s="15" t="s">
        <v>51</v>
      </c>
      <c r="Q51" s="1" t="s">
        <v>120</v>
      </c>
      <c r="R51" s="1" t="s">
        <v>51</v>
      </c>
      <c r="T51" s="1" t="s">
        <v>898</v>
      </c>
    </row>
    <row r="52" spans="1:25" ht="30" customHeight="1" x14ac:dyDescent="0.3">
      <c r="A52" s="15" t="s">
        <v>770</v>
      </c>
      <c r="B52" s="15" t="s">
        <v>769</v>
      </c>
      <c r="C52" s="15" t="s">
        <v>751</v>
      </c>
      <c r="D52" s="15" t="s">
        <v>752</v>
      </c>
      <c r="E52" s="15" t="s">
        <v>51</v>
      </c>
      <c r="F52" s="16">
        <f>SUM(Y49:Y50)</f>
        <v>0.11</v>
      </c>
      <c r="G52" s="16"/>
      <c r="H52" s="16"/>
      <c r="I52" s="16"/>
      <c r="J52" s="16"/>
      <c r="K52" s="16">
        <f>ROUND(F52*공량설정_일위대가!B29/100, 공량설정_일위대가!C30)</f>
        <v>0.11</v>
      </c>
      <c r="L52" s="15" t="s">
        <v>51</v>
      </c>
      <c r="M52" s="16"/>
      <c r="N52" s="16"/>
      <c r="O52" s="16" t="s">
        <v>1862</v>
      </c>
      <c r="P52" s="15" t="s">
        <v>51</v>
      </c>
      <c r="Q52" s="1" t="s">
        <v>120</v>
      </c>
      <c r="R52" s="1" t="s">
        <v>51</v>
      </c>
      <c r="T52" s="1" t="s">
        <v>897</v>
      </c>
    </row>
    <row r="53" spans="1:25" ht="30" customHeight="1" x14ac:dyDescent="0.3">
      <c r="A53" s="40" t="s">
        <v>2016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</row>
    <row r="54" spans="1:25" ht="30" customHeight="1" x14ac:dyDescent="0.3">
      <c r="A54" s="15" t="s">
        <v>844</v>
      </c>
      <c r="B54" s="15" t="s">
        <v>842</v>
      </c>
      <c r="C54" s="15" t="s">
        <v>843</v>
      </c>
      <c r="D54" s="15" t="s">
        <v>58</v>
      </c>
      <c r="E54" s="15" t="s">
        <v>1992</v>
      </c>
      <c r="F54" s="16">
        <v>1</v>
      </c>
      <c r="G54" s="16">
        <v>0</v>
      </c>
      <c r="H54" s="16"/>
      <c r="I54" s="16"/>
      <c r="J54" s="16"/>
      <c r="K54" s="16">
        <v>1</v>
      </c>
      <c r="L54" s="15" t="s">
        <v>750</v>
      </c>
      <c r="M54" s="16">
        <f>0.08*(H54+100)/100*(I54+100)/100*(J54+100)/100</f>
        <v>0.08</v>
      </c>
      <c r="N54" s="16">
        <f>F54*M54</f>
        <v>0.08</v>
      </c>
      <c r="O54" s="15" t="s">
        <v>1854</v>
      </c>
      <c r="P54" s="15" t="s">
        <v>2006</v>
      </c>
      <c r="Q54" s="1" t="s">
        <v>145</v>
      </c>
      <c r="R54" s="1" t="s">
        <v>753</v>
      </c>
      <c r="S54">
        <v>0.08</v>
      </c>
      <c r="T54" s="1" t="s">
        <v>918</v>
      </c>
      <c r="V54">
        <f>N54</f>
        <v>0.08</v>
      </c>
    </row>
    <row r="55" spans="1:25" ht="30" customHeight="1" x14ac:dyDescent="0.3">
      <c r="A55" s="15" t="s">
        <v>51</v>
      </c>
      <c r="B55" s="15" t="s">
        <v>51</v>
      </c>
      <c r="C55" s="15" t="s">
        <v>51</v>
      </c>
      <c r="D55" s="15" t="s">
        <v>51</v>
      </c>
      <c r="E55" s="15" t="s">
        <v>51</v>
      </c>
      <c r="F55" s="16"/>
      <c r="G55" s="16"/>
      <c r="H55" s="16"/>
      <c r="I55" s="16"/>
      <c r="J55" s="16"/>
      <c r="K55" s="16"/>
      <c r="L55" s="15" t="s">
        <v>769</v>
      </c>
      <c r="M55" s="16">
        <f>0.11*(H54+100)/100*(I54+100)/100*(J54+100)/100</f>
        <v>0.11</v>
      </c>
      <c r="N55" s="16">
        <f>F54*M55</f>
        <v>0.11</v>
      </c>
      <c r="O55" s="15" t="s">
        <v>1862</v>
      </c>
      <c r="P55" s="15" t="s">
        <v>1997</v>
      </c>
      <c r="Q55" s="1" t="s">
        <v>145</v>
      </c>
      <c r="R55" s="1" t="s">
        <v>770</v>
      </c>
      <c r="S55">
        <v>0.11</v>
      </c>
      <c r="T55" s="1" t="s">
        <v>918</v>
      </c>
      <c r="Y55">
        <f>N55</f>
        <v>0.11</v>
      </c>
    </row>
    <row r="56" spans="1:25" ht="30" customHeight="1" x14ac:dyDescent="0.3">
      <c r="A56" s="15" t="s">
        <v>848</v>
      </c>
      <c r="B56" s="15" t="s">
        <v>846</v>
      </c>
      <c r="C56" s="15" t="s">
        <v>847</v>
      </c>
      <c r="D56" s="15" t="s">
        <v>65</v>
      </c>
      <c r="E56" s="15" t="s">
        <v>1992</v>
      </c>
      <c r="F56" s="16">
        <v>5</v>
      </c>
      <c r="G56" s="16">
        <v>10</v>
      </c>
      <c r="H56" s="16"/>
      <c r="I56" s="16"/>
      <c r="J56" s="16"/>
      <c r="K56" s="16">
        <v>5</v>
      </c>
      <c r="L56" s="15" t="s">
        <v>769</v>
      </c>
      <c r="M56" s="16">
        <f>0.007*(H56+100)/100*(I56+100)/100*(J56+100)/100</f>
        <v>7.000000000000001E-3</v>
      </c>
      <c r="N56" s="16">
        <f>F56*M56</f>
        <v>3.5000000000000003E-2</v>
      </c>
      <c r="O56" s="15" t="s">
        <v>1862</v>
      </c>
      <c r="P56" s="15" t="s">
        <v>2007</v>
      </c>
      <c r="Q56" s="1" t="s">
        <v>145</v>
      </c>
      <c r="R56" s="1" t="s">
        <v>770</v>
      </c>
      <c r="S56">
        <v>7.0000000000000001E-3</v>
      </c>
      <c r="T56" s="1" t="s">
        <v>919</v>
      </c>
      <c r="Y56">
        <f>N56</f>
        <v>3.5000000000000003E-2</v>
      </c>
    </row>
    <row r="57" spans="1:25" ht="30" customHeight="1" x14ac:dyDescent="0.3">
      <c r="A57" s="15" t="s">
        <v>753</v>
      </c>
      <c r="B57" s="15" t="s">
        <v>750</v>
      </c>
      <c r="C57" s="15" t="s">
        <v>751</v>
      </c>
      <c r="D57" s="15" t="s">
        <v>752</v>
      </c>
      <c r="E57" s="15" t="s">
        <v>51</v>
      </c>
      <c r="F57" s="16">
        <f>SUM(V54:V56)</f>
        <v>0.08</v>
      </c>
      <c r="G57" s="16"/>
      <c r="H57" s="16"/>
      <c r="I57" s="16"/>
      <c r="J57" s="16"/>
      <c r="K57" s="16">
        <f>ROUND(F57*공량설정_일위대가!B34/100, 공량설정_일위대가!C36)</f>
        <v>0.08</v>
      </c>
      <c r="L57" s="15" t="s">
        <v>51</v>
      </c>
      <c r="M57" s="16"/>
      <c r="N57" s="16"/>
      <c r="O57" s="16" t="s">
        <v>1854</v>
      </c>
      <c r="P57" s="15" t="s">
        <v>51</v>
      </c>
      <c r="Q57" s="1" t="s">
        <v>145</v>
      </c>
      <c r="R57" s="1" t="s">
        <v>51</v>
      </c>
      <c r="T57" s="1" t="s">
        <v>925</v>
      </c>
    </row>
    <row r="58" spans="1:25" ht="30" customHeight="1" x14ac:dyDescent="0.3">
      <c r="A58" s="15" t="s">
        <v>770</v>
      </c>
      <c r="B58" s="15" t="s">
        <v>769</v>
      </c>
      <c r="C58" s="15" t="s">
        <v>751</v>
      </c>
      <c r="D58" s="15" t="s">
        <v>752</v>
      </c>
      <c r="E58" s="15" t="s">
        <v>51</v>
      </c>
      <c r="F58" s="16">
        <f>SUM(Y54:Y56)</f>
        <v>0.14500000000000002</v>
      </c>
      <c r="G58" s="16"/>
      <c r="H58" s="16"/>
      <c r="I58" s="16"/>
      <c r="J58" s="16"/>
      <c r="K58" s="16">
        <f>ROUND(F58*공량설정_일위대가!B34/100, 공량설정_일위대가!C35)</f>
        <v>0.14499999999999999</v>
      </c>
      <c r="L58" s="15" t="s">
        <v>51</v>
      </c>
      <c r="M58" s="16"/>
      <c r="N58" s="16"/>
      <c r="O58" s="16" t="s">
        <v>1862</v>
      </c>
      <c r="P58" s="15" t="s">
        <v>51</v>
      </c>
      <c r="Q58" s="1" t="s">
        <v>145</v>
      </c>
      <c r="R58" s="1" t="s">
        <v>51</v>
      </c>
      <c r="T58" s="1" t="s">
        <v>924</v>
      </c>
    </row>
    <row r="59" spans="1:25" ht="30" customHeight="1" x14ac:dyDescent="0.3">
      <c r="A59" s="40" t="s">
        <v>2017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</row>
    <row r="60" spans="1:25" ht="30" customHeight="1" x14ac:dyDescent="0.3">
      <c r="A60" s="15" t="s">
        <v>933</v>
      </c>
      <c r="B60" s="15" t="s">
        <v>147</v>
      </c>
      <c r="C60" s="15" t="s">
        <v>932</v>
      </c>
      <c r="D60" s="15" t="s">
        <v>65</v>
      </c>
      <c r="E60" s="15" t="s">
        <v>2018</v>
      </c>
      <c r="F60" s="16">
        <v>1</v>
      </c>
      <c r="G60" s="16"/>
      <c r="H60" s="16">
        <v>-10</v>
      </c>
      <c r="I60" s="16"/>
      <c r="J60" s="16"/>
      <c r="K60" s="16">
        <v>1</v>
      </c>
      <c r="L60" s="15" t="s">
        <v>769</v>
      </c>
      <c r="M60" s="16">
        <f>0.06*(H60+100)/100*(I60+100)/100*(J60+100)/100</f>
        <v>5.3999999999999992E-2</v>
      </c>
      <c r="N60" s="16">
        <f>F60*M60</f>
        <v>5.3999999999999992E-2</v>
      </c>
      <c r="O60" s="15" t="s">
        <v>1862</v>
      </c>
      <c r="P60" s="15" t="s">
        <v>2019</v>
      </c>
      <c r="Q60" s="1" t="s">
        <v>150</v>
      </c>
      <c r="R60" s="1" t="s">
        <v>770</v>
      </c>
      <c r="S60">
        <v>0.06</v>
      </c>
      <c r="T60" s="1" t="s">
        <v>934</v>
      </c>
      <c r="Y60">
        <f>N60</f>
        <v>5.3999999999999992E-2</v>
      </c>
    </row>
    <row r="61" spans="1:25" ht="30" customHeight="1" x14ac:dyDescent="0.3">
      <c r="A61" s="15" t="s">
        <v>933</v>
      </c>
      <c r="B61" s="15" t="s">
        <v>147</v>
      </c>
      <c r="C61" s="15" t="s">
        <v>932</v>
      </c>
      <c r="D61" s="15" t="s">
        <v>65</v>
      </c>
      <c r="E61" s="15" t="s">
        <v>2018</v>
      </c>
      <c r="F61" s="16">
        <v>0</v>
      </c>
      <c r="G61" s="16"/>
      <c r="H61" s="16">
        <v>0</v>
      </c>
      <c r="I61" s="16"/>
      <c r="J61" s="16"/>
      <c r="K61" s="16">
        <v>0.1</v>
      </c>
      <c r="L61" s="15" t="s">
        <v>769</v>
      </c>
      <c r="M61" s="16">
        <f>0.06*(H61+100)/100*(I61+100)/100*(J61+100)/100</f>
        <v>0.06</v>
      </c>
      <c r="N61" s="16">
        <f>F61*M61</f>
        <v>0</v>
      </c>
      <c r="O61" s="15" t="s">
        <v>1862</v>
      </c>
      <c r="P61" s="15" t="s">
        <v>2020</v>
      </c>
      <c r="Q61" s="1" t="s">
        <v>150</v>
      </c>
      <c r="R61" s="1" t="s">
        <v>770</v>
      </c>
      <c r="S61">
        <v>0.06</v>
      </c>
      <c r="T61" s="1" t="s">
        <v>934</v>
      </c>
      <c r="Y61">
        <f>N61</f>
        <v>0</v>
      </c>
    </row>
    <row r="62" spans="1:25" ht="30" customHeight="1" x14ac:dyDescent="0.3">
      <c r="A62" s="15" t="s">
        <v>770</v>
      </c>
      <c r="B62" s="15" t="s">
        <v>769</v>
      </c>
      <c r="C62" s="15" t="s">
        <v>751</v>
      </c>
      <c r="D62" s="15" t="s">
        <v>752</v>
      </c>
      <c r="E62" s="15" t="s">
        <v>51</v>
      </c>
      <c r="F62" s="16">
        <f>SUM(Y60:Y61)</f>
        <v>5.3999999999999992E-2</v>
      </c>
      <c r="G62" s="16"/>
      <c r="H62" s="16"/>
      <c r="I62" s="16"/>
      <c r="J62" s="16"/>
      <c r="K62" s="16">
        <f>ROUND(F62*공량설정_일위대가!B42/100, 공량설정_일위대가!C43)</f>
        <v>5.3999999999999999E-2</v>
      </c>
      <c r="L62" s="15" t="s">
        <v>51</v>
      </c>
      <c r="M62" s="16"/>
      <c r="N62" s="16"/>
      <c r="O62" s="16" t="s">
        <v>1862</v>
      </c>
      <c r="P62" s="15" t="s">
        <v>51</v>
      </c>
      <c r="Q62" s="1" t="s">
        <v>150</v>
      </c>
      <c r="R62" s="1" t="s">
        <v>51</v>
      </c>
      <c r="T62" s="1" t="s">
        <v>937</v>
      </c>
    </row>
    <row r="63" spans="1:25" ht="30" customHeight="1" x14ac:dyDescent="0.3">
      <c r="A63" s="40" t="s">
        <v>2021</v>
      </c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</row>
    <row r="64" spans="1:25" ht="30" customHeight="1" x14ac:dyDescent="0.3">
      <c r="A64" s="15" t="s">
        <v>941</v>
      </c>
      <c r="B64" s="15" t="s">
        <v>147</v>
      </c>
      <c r="C64" s="15" t="s">
        <v>940</v>
      </c>
      <c r="D64" s="15" t="s">
        <v>65</v>
      </c>
      <c r="E64" s="15" t="s">
        <v>2018</v>
      </c>
      <c r="F64" s="16">
        <v>1</v>
      </c>
      <c r="G64" s="16"/>
      <c r="H64" s="16">
        <v>-10</v>
      </c>
      <c r="I64" s="16"/>
      <c r="J64" s="16"/>
      <c r="K64" s="16">
        <v>1</v>
      </c>
      <c r="L64" s="15" t="s">
        <v>769</v>
      </c>
      <c r="M64" s="16">
        <f>0.08*(H64+100)/100*(I64+100)/100*(J64+100)/100</f>
        <v>7.2000000000000008E-2</v>
      </c>
      <c r="N64" s="16">
        <f>F64*M64</f>
        <v>7.2000000000000008E-2</v>
      </c>
      <c r="O64" s="15" t="s">
        <v>1862</v>
      </c>
      <c r="P64" s="15" t="s">
        <v>2022</v>
      </c>
      <c r="Q64" s="1" t="s">
        <v>154</v>
      </c>
      <c r="R64" s="1" t="s">
        <v>770</v>
      </c>
      <c r="S64">
        <v>0.08</v>
      </c>
      <c r="T64" s="1" t="s">
        <v>942</v>
      </c>
      <c r="Y64">
        <f>N64</f>
        <v>7.2000000000000008E-2</v>
      </c>
    </row>
    <row r="65" spans="1:26" ht="30" customHeight="1" x14ac:dyDescent="0.3">
      <c r="A65" s="15" t="s">
        <v>941</v>
      </c>
      <c r="B65" s="15" t="s">
        <v>147</v>
      </c>
      <c r="C65" s="15" t="s">
        <v>940</v>
      </c>
      <c r="D65" s="15" t="s">
        <v>65</v>
      </c>
      <c r="E65" s="15" t="s">
        <v>2018</v>
      </c>
      <c r="F65" s="16">
        <v>0</v>
      </c>
      <c r="G65" s="16"/>
      <c r="H65" s="16">
        <v>0</v>
      </c>
      <c r="I65" s="16"/>
      <c r="J65" s="16"/>
      <c r="K65" s="16">
        <v>0.1</v>
      </c>
      <c r="L65" s="15" t="s">
        <v>769</v>
      </c>
      <c r="M65" s="16">
        <f>0.08*(H65+100)/100*(I65+100)/100*(J65+100)/100</f>
        <v>0.08</v>
      </c>
      <c r="N65" s="16">
        <f>F65*M65</f>
        <v>0</v>
      </c>
      <c r="O65" s="15" t="s">
        <v>1862</v>
      </c>
      <c r="P65" s="15" t="s">
        <v>2006</v>
      </c>
      <c r="Q65" s="1" t="s">
        <v>154</v>
      </c>
      <c r="R65" s="1" t="s">
        <v>770</v>
      </c>
      <c r="S65">
        <v>0.08</v>
      </c>
      <c r="T65" s="1" t="s">
        <v>942</v>
      </c>
      <c r="Y65">
        <f>N65</f>
        <v>0</v>
      </c>
    </row>
    <row r="66" spans="1:26" ht="30" customHeight="1" x14ac:dyDescent="0.3">
      <c r="A66" s="15" t="s">
        <v>770</v>
      </c>
      <c r="B66" s="15" t="s">
        <v>769</v>
      </c>
      <c r="C66" s="15" t="s">
        <v>751</v>
      </c>
      <c r="D66" s="15" t="s">
        <v>752</v>
      </c>
      <c r="E66" s="15" t="s">
        <v>51</v>
      </c>
      <c r="F66" s="16">
        <f>SUM(Y64:Y65)</f>
        <v>7.2000000000000008E-2</v>
      </c>
      <c r="G66" s="16"/>
      <c r="H66" s="16"/>
      <c r="I66" s="16"/>
      <c r="J66" s="16"/>
      <c r="K66" s="16">
        <f>ROUND(F66*공량설정_일위대가!B44/100, 공량설정_일위대가!C45)</f>
        <v>7.1999999999999995E-2</v>
      </c>
      <c r="L66" s="15" t="s">
        <v>51</v>
      </c>
      <c r="M66" s="16"/>
      <c r="N66" s="16"/>
      <c r="O66" s="16" t="s">
        <v>1862</v>
      </c>
      <c r="P66" s="15" t="s">
        <v>51</v>
      </c>
      <c r="Q66" s="1" t="s">
        <v>154</v>
      </c>
      <c r="R66" s="1" t="s">
        <v>51</v>
      </c>
      <c r="T66" s="1" t="s">
        <v>945</v>
      </c>
    </row>
    <row r="67" spans="1:26" ht="30" customHeight="1" x14ac:dyDescent="0.3">
      <c r="A67" s="40" t="s">
        <v>2023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</row>
    <row r="68" spans="1:26" ht="30" customHeight="1" x14ac:dyDescent="0.3">
      <c r="A68" s="15" t="s">
        <v>948</v>
      </c>
      <c r="B68" s="15" t="s">
        <v>740</v>
      </c>
      <c r="C68" s="15" t="s">
        <v>156</v>
      </c>
      <c r="D68" s="15" t="s">
        <v>65</v>
      </c>
      <c r="E68" s="15" t="s">
        <v>1988</v>
      </c>
      <c r="F68" s="16">
        <v>1</v>
      </c>
      <c r="G68" s="16"/>
      <c r="H68" s="16">
        <v>0</v>
      </c>
      <c r="I68" s="16"/>
      <c r="J68" s="16"/>
      <c r="K68" s="16">
        <v>1</v>
      </c>
      <c r="L68" s="15" t="s">
        <v>750</v>
      </c>
      <c r="M68" s="16">
        <f>0.036*(H68+100)/100*(I68+100)/100*(J68+100)/100</f>
        <v>3.5999999999999997E-2</v>
      </c>
      <c r="N68" s="16">
        <f>F68*M68</f>
        <v>3.5999999999999997E-2</v>
      </c>
      <c r="O68" s="15" t="s">
        <v>1854</v>
      </c>
      <c r="P68" s="15" t="s">
        <v>2024</v>
      </c>
      <c r="Q68" s="1" t="s">
        <v>158</v>
      </c>
      <c r="R68" s="1" t="s">
        <v>753</v>
      </c>
      <c r="S68">
        <v>3.5999999999999997E-2</v>
      </c>
      <c r="T68" s="1" t="s">
        <v>949</v>
      </c>
      <c r="V68">
        <f>N68</f>
        <v>3.5999999999999997E-2</v>
      </c>
    </row>
    <row r="69" spans="1:26" ht="30" customHeight="1" x14ac:dyDescent="0.3">
      <c r="A69" s="15" t="s">
        <v>51</v>
      </c>
      <c r="B69" s="15" t="s">
        <v>51</v>
      </c>
      <c r="C69" s="15" t="s">
        <v>51</v>
      </c>
      <c r="D69" s="15" t="s">
        <v>51</v>
      </c>
      <c r="E69" s="15" t="s">
        <v>51</v>
      </c>
      <c r="F69" s="16"/>
      <c r="G69" s="16"/>
      <c r="H69" s="16"/>
      <c r="I69" s="16"/>
      <c r="J69" s="16"/>
      <c r="K69" s="16"/>
      <c r="L69" s="15" t="s">
        <v>755</v>
      </c>
      <c r="M69" s="16">
        <f>0.012*(H68+100)/100*(I68+100)/100*(J68+100)/100</f>
        <v>1.2E-2</v>
      </c>
      <c r="N69" s="16">
        <f>F68*M69</f>
        <v>1.2E-2</v>
      </c>
      <c r="O69" s="15" t="s">
        <v>1865</v>
      </c>
      <c r="P69" s="15" t="s">
        <v>2025</v>
      </c>
      <c r="Q69" s="1" t="s">
        <v>158</v>
      </c>
      <c r="R69" s="1" t="s">
        <v>756</v>
      </c>
      <c r="S69">
        <v>1.2E-2</v>
      </c>
      <c r="T69" s="1" t="s">
        <v>949</v>
      </c>
      <c r="X69">
        <f>N69</f>
        <v>1.2E-2</v>
      </c>
    </row>
    <row r="70" spans="1:26" ht="30" customHeight="1" x14ac:dyDescent="0.3">
      <c r="A70" s="15" t="s">
        <v>948</v>
      </c>
      <c r="B70" s="15" t="s">
        <v>740</v>
      </c>
      <c r="C70" s="15" t="s">
        <v>156</v>
      </c>
      <c r="D70" s="15" t="s">
        <v>65</v>
      </c>
      <c r="E70" s="15" t="s">
        <v>1988</v>
      </c>
      <c r="F70" s="16">
        <v>0</v>
      </c>
      <c r="G70" s="16"/>
      <c r="H70" s="16">
        <v>0</v>
      </c>
      <c r="I70" s="16"/>
      <c r="J70" s="16"/>
      <c r="K70" s="16">
        <v>0.03</v>
      </c>
      <c r="L70" s="15" t="s">
        <v>750</v>
      </c>
      <c r="M70" s="16">
        <f>0.036*(H70+100)/100*(I70+100)/100*(J70+100)/100</f>
        <v>3.5999999999999997E-2</v>
      </c>
      <c r="N70" s="16">
        <f>F70*M70</f>
        <v>0</v>
      </c>
      <c r="O70" s="15" t="s">
        <v>1854</v>
      </c>
      <c r="P70" s="15" t="s">
        <v>2024</v>
      </c>
      <c r="Q70" s="1" t="s">
        <v>158</v>
      </c>
      <c r="R70" s="1" t="s">
        <v>753</v>
      </c>
      <c r="S70">
        <v>3.5999999999999997E-2</v>
      </c>
      <c r="T70" s="1" t="s">
        <v>949</v>
      </c>
      <c r="V70">
        <f>N70</f>
        <v>0</v>
      </c>
    </row>
    <row r="71" spans="1:26" ht="30" customHeight="1" x14ac:dyDescent="0.3">
      <c r="A71" s="15" t="s">
        <v>51</v>
      </c>
      <c r="B71" s="15" t="s">
        <v>51</v>
      </c>
      <c r="C71" s="15" t="s">
        <v>51</v>
      </c>
      <c r="D71" s="15" t="s">
        <v>51</v>
      </c>
      <c r="E71" s="15" t="s">
        <v>51</v>
      </c>
      <c r="F71" s="16"/>
      <c r="G71" s="16"/>
      <c r="H71" s="16"/>
      <c r="I71" s="16"/>
      <c r="J71" s="16"/>
      <c r="K71" s="16"/>
      <c r="L71" s="15" t="s">
        <v>755</v>
      </c>
      <c r="M71" s="16">
        <f>0.012*(H70+100)/100*(I70+100)/100*(J70+100)/100</f>
        <v>1.2E-2</v>
      </c>
      <c r="N71" s="16">
        <f>F70*M71</f>
        <v>0</v>
      </c>
      <c r="O71" s="15" t="s">
        <v>1865</v>
      </c>
      <c r="P71" s="15" t="s">
        <v>2025</v>
      </c>
      <c r="Q71" s="1" t="s">
        <v>158</v>
      </c>
      <c r="R71" s="1" t="s">
        <v>756</v>
      </c>
      <c r="S71">
        <v>1.2E-2</v>
      </c>
      <c r="T71" s="1" t="s">
        <v>949</v>
      </c>
      <c r="X71">
        <f>N71</f>
        <v>0</v>
      </c>
    </row>
    <row r="72" spans="1:26" ht="30" customHeight="1" x14ac:dyDescent="0.3">
      <c r="A72" s="15" t="s">
        <v>753</v>
      </c>
      <c r="B72" s="15" t="s">
        <v>750</v>
      </c>
      <c r="C72" s="15" t="s">
        <v>751</v>
      </c>
      <c r="D72" s="15" t="s">
        <v>752</v>
      </c>
      <c r="E72" s="15" t="s">
        <v>51</v>
      </c>
      <c r="F72" s="16">
        <f>SUM(V68:V71)</f>
        <v>3.5999999999999997E-2</v>
      </c>
      <c r="G72" s="16"/>
      <c r="H72" s="16"/>
      <c r="I72" s="16"/>
      <c r="J72" s="16"/>
      <c r="K72" s="16">
        <f>ROUND(F72*공량설정_일위대가!B46/100, 공량설정_일위대가!C47)</f>
        <v>3.5999999999999997E-2</v>
      </c>
      <c r="L72" s="15" t="s">
        <v>51</v>
      </c>
      <c r="M72" s="16"/>
      <c r="N72" s="16"/>
      <c r="O72" s="16" t="s">
        <v>1854</v>
      </c>
      <c r="P72" s="15" t="s">
        <v>51</v>
      </c>
      <c r="Q72" s="1" t="s">
        <v>158</v>
      </c>
      <c r="R72" s="1" t="s">
        <v>51</v>
      </c>
      <c r="T72" s="1" t="s">
        <v>952</v>
      </c>
    </row>
    <row r="73" spans="1:26" ht="30" customHeight="1" x14ac:dyDescent="0.3">
      <c r="A73" s="15" t="s">
        <v>756</v>
      </c>
      <c r="B73" s="15" t="s">
        <v>755</v>
      </c>
      <c r="C73" s="15" t="s">
        <v>751</v>
      </c>
      <c r="D73" s="15" t="s">
        <v>752</v>
      </c>
      <c r="E73" s="15" t="s">
        <v>51</v>
      </c>
      <c r="F73" s="16">
        <f>SUM(X68:X71)</f>
        <v>1.2E-2</v>
      </c>
      <c r="G73" s="16"/>
      <c r="H73" s="16"/>
      <c r="I73" s="16"/>
      <c r="J73" s="16"/>
      <c r="K73" s="16">
        <f>ROUND(F73*공량설정_일위대가!B46/100, 공량설정_일위대가!C48)</f>
        <v>1.2E-2</v>
      </c>
      <c r="L73" s="15" t="s">
        <v>51</v>
      </c>
      <c r="M73" s="16"/>
      <c r="N73" s="16"/>
      <c r="O73" s="16" t="s">
        <v>1865</v>
      </c>
      <c r="P73" s="15" t="s">
        <v>51</v>
      </c>
      <c r="Q73" s="1" t="s">
        <v>158</v>
      </c>
      <c r="R73" s="1" t="s">
        <v>51</v>
      </c>
      <c r="T73" s="1" t="s">
        <v>953</v>
      </c>
    </row>
    <row r="74" spans="1:26" ht="30" customHeight="1" x14ac:dyDescent="0.3">
      <c r="A74" s="40" t="s">
        <v>2026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</row>
    <row r="75" spans="1:26" ht="30" customHeight="1" x14ac:dyDescent="0.3">
      <c r="A75" s="15" t="s">
        <v>957</v>
      </c>
      <c r="B75" s="15" t="s">
        <v>160</v>
      </c>
      <c r="C75" s="15" t="s">
        <v>956</v>
      </c>
      <c r="D75" s="15" t="s">
        <v>58</v>
      </c>
      <c r="E75" s="15" t="s">
        <v>2027</v>
      </c>
      <c r="F75" s="16">
        <v>1</v>
      </c>
      <c r="G75" s="16"/>
      <c r="H75" s="16">
        <v>20</v>
      </c>
      <c r="I75" s="16"/>
      <c r="J75" s="16"/>
      <c r="K75" s="16">
        <v>1</v>
      </c>
      <c r="L75" s="15" t="s">
        <v>769</v>
      </c>
      <c r="M75" s="16">
        <f>0.35*(H75+100)/100*(I75+100)/100*(J75+100)/100</f>
        <v>0.42</v>
      </c>
      <c r="N75" s="16">
        <f>F75*M75</f>
        <v>0.42</v>
      </c>
      <c r="O75" s="15" t="s">
        <v>1862</v>
      </c>
      <c r="P75" s="15" t="s">
        <v>2028</v>
      </c>
      <c r="Q75" s="1" t="s">
        <v>163</v>
      </c>
      <c r="R75" s="1" t="s">
        <v>770</v>
      </c>
      <c r="S75">
        <v>0.35</v>
      </c>
      <c r="T75" s="1" t="s">
        <v>958</v>
      </c>
      <c r="Y75">
        <f>N75</f>
        <v>0.42</v>
      </c>
    </row>
    <row r="76" spans="1:26" ht="30" customHeight="1" x14ac:dyDescent="0.3">
      <c r="A76" s="15" t="s">
        <v>770</v>
      </c>
      <c r="B76" s="15" t="s">
        <v>769</v>
      </c>
      <c r="C76" s="15" t="s">
        <v>751</v>
      </c>
      <c r="D76" s="15" t="s">
        <v>752</v>
      </c>
      <c r="E76" s="15" t="s">
        <v>51</v>
      </c>
      <c r="F76" s="16">
        <f>SUM(Y75:Y75)</f>
        <v>0.42</v>
      </c>
      <c r="G76" s="16"/>
      <c r="H76" s="16"/>
      <c r="I76" s="16"/>
      <c r="J76" s="16"/>
      <c r="K76" s="16">
        <f>ROUND(F76*공량설정_일위대가!B49/100, 공량설정_일위대가!C50)</f>
        <v>0.42</v>
      </c>
      <c r="L76" s="15" t="s">
        <v>51</v>
      </c>
      <c r="M76" s="16"/>
      <c r="N76" s="16"/>
      <c r="O76" s="16" t="s">
        <v>1862</v>
      </c>
      <c r="P76" s="15" t="s">
        <v>51</v>
      </c>
      <c r="Q76" s="1" t="s">
        <v>163</v>
      </c>
      <c r="R76" s="1" t="s">
        <v>51</v>
      </c>
      <c r="T76" s="1" t="s">
        <v>959</v>
      </c>
    </row>
    <row r="77" spans="1:26" ht="30" customHeight="1" x14ac:dyDescent="0.3">
      <c r="A77" s="40" t="s">
        <v>2029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</row>
    <row r="78" spans="1:26" ht="30" customHeight="1" x14ac:dyDescent="0.3">
      <c r="A78" s="15" t="s">
        <v>966</v>
      </c>
      <c r="B78" s="15" t="s">
        <v>792</v>
      </c>
      <c r="C78" s="15" t="s">
        <v>965</v>
      </c>
      <c r="D78" s="15" t="s">
        <v>58</v>
      </c>
      <c r="E78" s="15" t="s">
        <v>2003</v>
      </c>
      <c r="F78" s="16">
        <v>1</v>
      </c>
      <c r="G78" s="16"/>
      <c r="H78" s="16">
        <v>0</v>
      </c>
      <c r="I78" s="16"/>
      <c r="J78" s="16"/>
      <c r="K78" s="16">
        <v>1</v>
      </c>
      <c r="L78" s="15" t="s">
        <v>750</v>
      </c>
      <c r="M78" s="16">
        <f>0.08179*(H78+100)/100*(I78+100)/100*(J78+100)/100</f>
        <v>8.1790000000000002E-2</v>
      </c>
      <c r="N78" s="16">
        <f>F78*M78</f>
        <v>8.1790000000000002E-2</v>
      </c>
      <c r="O78" s="15" t="s">
        <v>1854</v>
      </c>
      <c r="P78" s="15" t="s">
        <v>2030</v>
      </c>
      <c r="Q78" s="1" t="s">
        <v>168</v>
      </c>
      <c r="R78" s="1" t="s">
        <v>753</v>
      </c>
      <c r="S78">
        <v>8.1790000000000002E-2</v>
      </c>
      <c r="T78" s="1" t="s">
        <v>967</v>
      </c>
      <c r="V78">
        <f>N78</f>
        <v>8.1790000000000002E-2</v>
      </c>
    </row>
    <row r="79" spans="1:26" ht="30" customHeight="1" x14ac:dyDescent="0.3">
      <c r="A79" s="15" t="s">
        <v>51</v>
      </c>
      <c r="B79" s="15" t="s">
        <v>51</v>
      </c>
      <c r="C79" s="15" t="s">
        <v>51</v>
      </c>
      <c r="D79" s="15" t="s">
        <v>51</v>
      </c>
      <c r="E79" s="15" t="s">
        <v>51</v>
      </c>
      <c r="F79" s="16"/>
      <c r="G79" s="16"/>
      <c r="H79" s="16"/>
      <c r="I79" s="16"/>
      <c r="J79" s="16"/>
      <c r="K79" s="16"/>
      <c r="L79" s="15" t="s">
        <v>808</v>
      </c>
      <c r="M79" s="16">
        <f>0.08179*(H78+100)/100*(I78+100)/100*(J78+100)/100</f>
        <v>8.1790000000000002E-2</v>
      </c>
      <c r="N79" s="16">
        <f>F78*M79</f>
        <v>8.1790000000000002E-2</v>
      </c>
      <c r="O79" s="15" t="s">
        <v>1863</v>
      </c>
      <c r="P79" s="15" t="s">
        <v>2030</v>
      </c>
      <c r="Q79" s="1" t="s">
        <v>168</v>
      </c>
      <c r="R79" s="1" t="s">
        <v>809</v>
      </c>
      <c r="S79">
        <v>8.1790000000000002E-2</v>
      </c>
      <c r="T79" s="1" t="s">
        <v>967</v>
      </c>
      <c r="Z79">
        <f>N79</f>
        <v>8.1790000000000002E-2</v>
      </c>
    </row>
    <row r="80" spans="1:26" ht="30" customHeight="1" x14ac:dyDescent="0.3">
      <c r="A80" s="15" t="s">
        <v>753</v>
      </c>
      <c r="B80" s="15" t="s">
        <v>750</v>
      </c>
      <c r="C80" s="15" t="s">
        <v>751</v>
      </c>
      <c r="D80" s="15" t="s">
        <v>752</v>
      </c>
      <c r="E80" s="15" t="s">
        <v>51</v>
      </c>
      <c r="F80" s="16">
        <f>SUM(V78:V79)</f>
        <v>8.1790000000000002E-2</v>
      </c>
      <c r="G80" s="16"/>
      <c r="H80" s="16"/>
      <c r="I80" s="16"/>
      <c r="J80" s="16"/>
      <c r="K80" s="16">
        <f>ROUND(F80*공량설정_일위대가!B51/100, 공량설정_일위대가!C53)</f>
        <v>8.1799999999999998E-2</v>
      </c>
      <c r="L80" s="15" t="s">
        <v>51</v>
      </c>
      <c r="M80" s="16"/>
      <c r="N80" s="16"/>
      <c r="O80" s="16" t="s">
        <v>1854</v>
      </c>
      <c r="P80" s="15" t="s">
        <v>51</v>
      </c>
      <c r="Q80" s="1" t="s">
        <v>168</v>
      </c>
      <c r="R80" s="1" t="s">
        <v>51</v>
      </c>
      <c r="T80" s="1" t="s">
        <v>973</v>
      </c>
    </row>
    <row r="81" spans="1:27" ht="30" customHeight="1" x14ac:dyDescent="0.3">
      <c r="A81" s="15" t="s">
        <v>809</v>
      </c>
      <c r="B81" s="15" t="s">
        <v>808</v>
      </c>
      <c r="C81" s="15" t="s">
        <v>751</v>
      </c>
      <c r="D81" s="15" t="s">
        <v>752</v>
      </c>
      <c r="E81" s="15" t="s">
        <v>51</v>
      </c>
      <c r="F81" s="16">
        <f>SUM(Z78:Z79)</f>
        <v>8.1790000000000002E-2</v>
      </c>
      <c r="G81" s="16"/>
      <c r="H81" s="16"/>
      <c r="I81" s="16"/>
      <c r="J81" s="16"/>
      <c r="K81" s="16">
        <f>ROUND(F81*공량설정_일위대가!B51/100, 공량설정_일위대가!C52)</f>
        <v>8.1799999999999998E-2</v>
      </c>
      <c r="L81" s="15" t="s">
        <v>51</v>
      </c>
      <c r="M81" s="16"/>
      <c r="N81" s="16"/>
      <c r="O81" s="16" t="s">
        <v>1863</v>
      </c>
      <c r="P81" s="15" t="s">
        <v>51</v>
      </c>
      <c r="Q81" s="1" t="s">
        <v>168</v>
      </c>
      <c r="R81" s="1" t="s">
        <v>51</v>
      </c>
      <c r="T81" s="1" t="s">
        <v>972</v>
      </c>
    </row>
    <row r="82" spans="1:27" ht="30" customHeight="1" x14ac:dyDescent="0.3">
      <c r="A82" s="40" t="s">
        <v>2031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</row>
    <row r="83" spans="1:27" ht="30" customHeight="1" x14ac:dyDescent="0.3">
      <c r="A83" s="15" t="s">
        <v>977</v>
      </c>
      <c r="B83" s="15" t="s">
        <v>106</v>
      </c>
      <c r="C83" s="15" t="s">
        <v>976</v>
      </c>
      <c r="D83" s="15" t="s">
        <v>65</v>
      </c>
      <c r="E83" s="15" t="s">
        <v>2032</v>
      </c>
      <c r="F83" s="16">
        <v>1</v>
      </c>
      <c r="G83" s="16"/>
      <c r="H83" s="16">
        <v>0</v>
      </c>
      <c r="I83" s="16"/>
      <c r="J83" s="16"/>
      <c r="K83" s="16">
        <v>1</v>
      </c>
      <c r="L83" s="15" t="s">
        <v>865</v>
      </c>
      <c r="M83" s="16">
        <f>0.136*(H83+100)/100*(I83+100)/100*(J83+100)/100</f>
        <v>0.13600000000000001</v>
      </c>
      <c r="N83" s="16">
        <f>F83*M83</f>
        <v>0.13600000000000001</v>
      </c>
      <c r="O83" s="15" t="s">
        <v>1864</v>
      </c>
      <c r="P83" s="15" t="s">
        <v>2033</v>
      </c>
      <c r="Q83" s="1" t="s">
        <v>172</v>
      </c>
      <c r="R83" s="1" t="s">
        <v>866</v>
      </c>
      <c r="S83">
        <v>0.13600000000000001</v>
      </c>
      <c r="T83" s="1" t="s">
        <v>978</v>
      </c>
      <c r="AA83">
        <f>N83</f>
        <v>0.13600000000000001</v>
      </c>
    </row>
    <row r="84" spans="1:27" ht="30" customHeight="1" x14ac:dyDescent="0.3">
      <c r="A84" s="15" t="s">
        <v>977</v>
      </c>
      <c r="B84" s="15" t="s">
        <v>106</v>
      </c>
      <c r="C84" s="15" t="s">
        <v>976</v>
      </c>
      <c r="D84" s="15" t="s">
        <v>65</v>
      </c>
      <c r="E84" s="15" t="s">
        <v>2032</v>
      </c>
      <c r="F84" s="16">
        <v>0</v>
      </c>
      <c r="G84" s="16"/>
      <c r="H84" s="16">
        <v>0</v>
      </c>
      <c r="I84" s="16"/>
      <c r="J84" s="16"/>
      <c r="K84" s="16">
        <v>0.05</v>
      </c>
      <c r="L84" s="15" t="s">
        <v>865</v>
      </c>
      <c r="M84" s="16">
        <f>0.136*(H84+100)/100*(I84+100)/100*(J84+100)/100</f>
        <v>0.13600000000000001</v>
      </c>
      <c r="N84" s="16">
        <f>F84*M84</f>
        <v>0</v>
      </c>
      <c r="O84" s="15" t="s">
        <v>1864</v>
      </c>
      <c r="P84" s="15" t="s">
        <v>2033</v>
      </c>
      <c r="Q84" s="1" t="s">
        <v>172</v>
      </c>
      <c r="R84" s="1" t="s">
        <v>866</v>
      </c>
      <c r="S84">
        <v>0.13600000000000001</v>
      </c>
      <c r="T84" s="1" t="s">
        <v>978</v>
      </c>
      <c r="AA84">
        <f>N84</f>
        <v>0</v>
      </c>
    </row>
    <row r="85" spans="1:27" ht="30" customHeight="1" x14ac:dyDescent="0.3">
      <c r="A85" s="15" t="s">
        <v>866</v>
      </c>
      <c r="B85" s="15" t="s">
        <v>865</v>
      </c>
      <c r="C85" s="15" t="s">
        <v>751</v>
      </c>
      <c r="D85" s="15" t="s">
        <v>752</v>
      </c>
      <c r="E85" s="15" t="s">
        <v>51</v>
      </c>
      <c r="F85" s="16">
        <f>SUM(AA83:AA84)</f>
        <v>0.13600000000000001</v>
      </c>
      <c r="G85" s="16"/>
      <c r="H85" s="16"/>
      <c r="I85" s="16"/>
      <c r="J85" s="16"/>
      <c r="K85" s="16">
        <f>ROUND(F85*공량설정_일위대가!B54/100, 공량설정_일위대가!C55)</f>
        <v>0.13600000000000001</v>
      </c>
      <c r="L85" s="15" t="s">
        <v>51</v>
      </c>
      <c r="M85" s="16"/>
      <c r="N85" s="16"/>
      <c r="O85" s="16" t="s">
        <v>1864</v>
      </c>
      <c r="P85" s="15" t="s">
        <v>51</v>
      </c>
      <c r="Q85" s="1" t="s">
        <v>172</v>
      </c>
      <c r="R85" s="1" t="s">
        <v>51</v>
      </c>
      <c r="T85" s="1" t="s">
        <v>980</v>
      </c>
    </row>
    <row r="86" spans="1:27" ht="30" customHeight="1" x14ac:dyDescent="0.3">
      <c r="A86" s="40" t="s">
        <v>2034</v>
      </c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</row>
    <row r="87" spans="1:27" ht="30" customHeight="1" x14ac:dyDescent="0.3">
      <c r="A87" s="15" t="s">
        <v>984</v>
      </c>
      <c r="B87" s="15" t="s">
        <v>174</v>
      </c>
      <c r="C87" s="15" t="s">
        <v>983</v>
      </c>
      <c r="D87" s="15" t="s">
        <v>58</v>
      </c>
      <c r="E87" s="15" t="s">
        <v>2013</v>
      </c>
      <c r="F87" s="16">
        <v>1</v>
      </c>
      <c r="G87" s="16"/>
      <c r="H87" s="16">
        <v>-70</v>
      </c>
      <c r="I87" s="16">
        <v>-50</v>
      </c>
      <c r="J87" s="16"/>
      <c r="K87" s="16">
        <v>1</v>
      </c>
      <c r="L87" s="15" t="s">
        <v>865</v>
      </c>
      <c r="M87" s="16">
        <f>0.36*(H87+100)/100*(I87+100)/100*(J87+100)/100</f>
        <v>5.3999999999999992E-2</v>
      </c>
      <c r="N87" s="16">
        <f>F87*M87</f>
        <v>5.3999999999999992E-2</v>
      </c>
      <c r="O87" s="15" t="s">
        <v>1864</v>
      </c>
      <c r="P87" s="15" t="s">
        <v>2035</v>
      </c>
      <c r="Q87" s="1" t="s">
        <v>177</v>
      </c>
      <c r="R87" s="1" t="s">
        <v>866</v>
      </c>
      <c r="S87">
        <v>0.36</v>
      </c>
      <c r="T87" s="1" t="s">
        <v>985</v>
      </c>
      <c r="AA87">
        <f>N87</f>
        <v>5.3999999999999992E-2</v>
      </c>
    </row>
    <row r="88" spans="1:27" ht="30" customHeight="1" x14ac:dyDescent="0.3">
      <c r="A88" s="15" t="s">
        <v>866</v>
      </c>
      <c r="B88" s="15" t="s">
        <v>865</v>
      </c>
      <c r="C88" s="15" t="s">
        <v>751</v>
      </c>
      <c r="D88" s="15" t="s">
        <v>752</v>
      </c>
      <c r="E88" s="15" t="s">
        <v>51</v>
      </c>
      <c r="F88" s="16">
        <f>SUM(AA87:AA87)</f>
        <v>5.3999999999999992E-2</v>
      </c>
      <c r="G88" s="16"/>
      <c r="H88" s="16"/>
      <c r="I88" s="16"/>
      <c r="J88" s="16"/>
      <c r="K88" s="16">
        <f>ROUND(F88*공량설정_일위대가!B56/100, 공량설정_일위대가!C57)</f>
        <v>5.3999999999999999E-2</v>
      </c>
      <c r="L88" s="15" t="s">
        <v>51</v>
      </c>
      <c r="M88" s="16"/>
      <c r="N88" s="16"/>
      <c r="O88" s="16" t="s">
        <v>1864</v>
      </c>
      <c r="P88" s="15" t="s">
        <v>51</v>
      </c>
      <c r="Q88" s="1" t="s">
        <v>177</v>
      </c>
      <c r="R88" s="1" t="s">
        <v>51</v>
      </c>
      <c r="T88" s="1" t="s">
        <v>986</v>
      </c>
    </row>
    <row r="89" spans="1:27" ht="30" customHeight="1" x14ac:dyDescent="0.3">
      <c r="A89" s="40" t="s">
        <v>2036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</row>
    <row r="90" spans="1:27" ht="30" customHeight="1" x14ac:dyDescent="0.3">
      <c r="A90" s="15" t="s">
        <v>990</v>
      </c>
      <c r="B90" s="15" t="s">
        <v>174</v>
      </c>
      <c r="C90" s="15" t="s">
        <v>989</v>
      </c>
      <c r="D90" s="15" t="s">
        <v>58</v>
      </c>
      <c r="E90" s="15" t="s">
        <v>2013</v>
      </c>
      <c r="F90" s="16">
        <v>1</v>
      </c>
      <c r="G90" s="16"/>
      <c r="H90" s="16">
        <v>-70</v>
      </c>
      <c r="I90" s="16">
        <v>-50</v>
      </c>
      <c r="J90" s="16"/>
      <c r="K90" s="16">
        <v>1</v>
      </c>
      <c r="L90" s="15" t="s">
        <v>865</v>
      </c>
      <c r="M90" s="16">
        <f>0.68*(H90+100)/100*(I90+100)/100*(J90+100)/100</f>
        <v>0.10200000000000001</v>
      </c>
      <c r="N90" s="16">
        <f>F90*M90</f>
        <v>0.10200000000000001</v>
      </c>
      <c r="O90" s="15" t="s">
        <v>1864</v>
      </c>
      <c r="P90" s="15" t="s">
        <v>2037</v>
      </c>
      <c r="Q90" s="1" t="s">
        <v>181</v>
      </c>
      <c r="R90" s="1" t="s">
        <v>866</v>
      </c>
      <c r="S90">
        <v>0.68</v>
      </c>
      <c r="T90" s="1" t="s">
        <v>991</v>
      </c>
      <c r="AA90">
        <f>N90</f>
        <v>0.10200000000000001</v>
      </c>
    </row>
    <row r="91" spans="1:27" ht="30" customHeight="1" x14ac:dyDescent="0.3">
      <c r="A91" s="15" t="s">
        <v>866</v>
      </c>
      <c r="B91" s="15" t="s">
        <v>865</v>
      </c>
      <c r="C91" s="15" t="s">
        <v>751</v>
      </c>
      <c r="D91" s="15" t="s">
        <v>752</v>
      </c>
      <c r="E91" s="15" t="s">
        <v>51</v>
      </c>
      <c r="F91" s="16">
        <f>SUM(AA90:AA90)</f>
        <v>0.10200000000000001</v>
      </c>
      <c r="G91" s="16"/>
      <c r="H91" s="16"/>
      <c r="I91" s="16"/>
      <c r="J91" s="16"/>
      <c r="K91" s="16">
        <f>ROUND(F91*공량설정_일위대가!B58/100, 공량설정_일위대가!C59)</f>
        <v>0.10199999999999999</v>
      </c>
      <c r="L91" s="15" t="s">
        <v>51</v>
      </c>
      <c r="M91" s="16"/>
      <c r="N91" s="16"/>
      <c r="O91" s="16" t="s">
        <v>1864</v>
      </c>
      <c r="P91" s="15" t="s">
        <v>51</v>
      </c>
      <c r="Q91" s="1" t="s">
        <v>181</v>
      </c>
      <c r="R91" s="1" t="s">
        <v>51</v>
      </c>
      <c r="T91" s="1" t="s">
        <v>993</v>
      </c>
    </row>
    <row r="92" spans="1:27" ht="30" customHeight="1" x14ac:dyDescent="0.3">
      <c r="A92" s="40" t="s">
        <v>2038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</row>
    <row r="93" spans="1:27" ht="30" customHeight="1" x14ac:dyDescent="0.3">
      <c r="A93" s="15" t="s">
        <v>997</v>
      </c>
      <c r="B93" s="15" t="s">
        <v>183</v>
      </c>
      <c r="C93" s="15" t="s">
        <v>996</v>
      </c>
      <c r="D93" s="15" t="s">
        <v>58</v>
      </c>
      <c r="E93" s="15" t="s">
        <v>2013</v>
      </c>
      <c r="F93" s="16">
        <v>1</v>
      </c>
      <c r="G93" s="16"/>
      <c r="H93" s="16">
        <v>-70</v>
      </c>
      <c r="I93" s="16">
        <v>-50</v>
      </c>
      <c r="J93" s="16"/>
      <c r="K93" s="16">
        <v>1</v>
      </c>
      <c r="L93" s="15" t="s">
        <v>865</v>
      </c>
      <c r="M93" s="16">
        <f>0.84*(H93+100)/100*(I93+100)/100*(J93+100)/100</f>
        <v>0.126</v>
      </c>
      <c r="N93" s="16">
        <f>F93*M93</f>
        <v>0.126</v>
      </c>
      <c r="O93" s="15" t="s">
        <v>1864</v>
      </c>
      <c r="P93" s="15" t="s">
        <v>2039</v>
      </c>
      <c r="Q93" s="1" t="s">
        <v>186</v>
      </c>
      <c r="R93" s="1" t="s">
        <v>866</v>
      </c>
      <c r="S93">
        <v>0.84</v>
      </c>
      <c r="T93" s="1" t="s">
        <v>998</v>
      </c>
      <c r="AA93">
        <f>N93</f>
        <v>0.126</v>
      </c>
    </row>
    <row r="94" spans="1:27" ht="30" customHeight="1" x14ac:dyDescent="0.3">
      <c r="A94" s="15" t="s">
        <v>866</v>
      </c>
      <c r="B94" s="15" t="s">
        <v>865</v>
      </c>
      <c r="C94" s="15" t="s">
        <v>751</v>
      </c>
      <c r="D94" s="15" t="s">
        <v>752</v>
      </c>
      <c r="E94" s="15" t="s">
        <v>51</v>
      </c>
      <c r="F94" s="16">
        <f>SUM(AA93:AA93)</f>
        <v>0.126</v>
      </c>
      <c r="G94" s="16"/>
      <c r="H94" s="16"/>
      <c r="I94" s="16"/>
      <c r="J94" s="16"/>
      <c r="K94" s="16">
        <f>ROUND(F94*공량설정_일위대가!B60/100, 공량설정_일위대가!C61)</f>
        <v>0.126</v>
      </c>
      <c r="L94" s="15" t="s">
        <v>51</v>
      </c>
      <c r="M94" s="16"/>
      <c r="N94" s="16"/>
      <c r="O94" s="16" t="s">
        <v>1864</v>
      </c>
      <c r="P94" s="15" t="s">
        <v>51</v>
      </c>
      <c r="Q94" s="1" t="s">
        <v>186</v>
      </c>
      <c r="R94" s="1" t="s">
        <v>51</v>
      </c>
      <c r="T94" s="1" t="s">
        <v>1000</v>
      </c>
    </row>
    <row r="95" spans="1:27" ht="30" customHeight="1" x14ac:dyDescent="0.3">
      <c r="A95" s="40" t="s">
        <v>2040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</row>
    <row r="96" spans="1:27" ht="30" customHeight="1" x14ac:dyDescent="0.3">
      <c r="A96" s="15" t="s">
        <v>1004</v>
      </c>
      <c r="B96" s="15" t="s">
        <v>764</v>
      </c>
      <c r="C96" s="15" t="s">
        <v>1003</v>
      </c>
      <c r="D96" s="15" t="s">
        <v>65</v>
      </c>
      <c r="E96" s="15" t="s">
        <v>2041</v>
      </c>
      <c r="F96" s="16">
        <v>1</v>
      </c>
      <c r="G96" s="16"/>
      <c r="H96" s="16">
        <v>50</v>
      </c>
      <c r="I96" s="16"/>
      <c r="J96" s="16"/>
      <c r="K96" s="16">
        <v>1</v>
      </c>
      <c r="L96" s="15" t="s">
        <v>769</v>
      </c>
      <c r="M96" s="16">
        <f>0.007*(H96+100)/100*(I96+100)/100*(J96+100)/100</f>
        <v>1.0500000000000001E-2</v>
      </c>
      <c r="N96" s="16">
        <f>F96*M96</f>
        <v>1.0500000000000001E-2</v>
      </c>
      <c r="O96" s="15" t="s">
        <v>1862</v>
      </c>
      <c r="P96" s="15" t="s">
        <v>2042</v>
      </c>
      <c r="Q96" s="1" t="s">
        <v>190</v>
      </c>
      <c r="R96" s="1" t="s">
        <v>770</v>
      </c>
      <c r="S96">
        <v>7.0000000000000001E-3</v>
      </c>
      <c r="T96" s="1" t="s">
        <v>1005</v>
      </c>
      <c r="Y96">
        <f>N96</f>
        <v>1.0500000000000001E-2</v>
      </c>
    </row>
    <row r="97" spans="1:25" ht="30" customHeight="1" x14ac:dyDescent="0.3">
      <c r="A97" s="15" t="s">
        <v>1004</v>
      </c>
      <c r="B97" s="15" t="s">
        <v>764</v>
      </c>
      <c r="C97" s="15" t="s">
        <v>1003</v>
      </c>
      <c r="D97" s="15" t="s">
        <v>65</v>
      </c>
      <c r="E97" s="15" t="s">
        <v>2041</v>
      </c>
      <c r="F97" s="16">
        <v>0</v>
      </c>
      <c r="G97" s="16"/>
      <c r="H97" s="16">
        <v>0</v>
      </c>
      <c r="I97" s="16"/>
      <c r="J97" s="16"/>
      <c r="K97" s="16">
        <v>0.1</v>
      </c>
      <c r="L97" s="15" t="s">
        <v>769</v>
      </c>
      <c r="M97" s="16">
        <f>0.007*(H97+100)/100*(I97+100)/100*(J97+100)/100</f>
        <v>7.000000000000001E-3</v>
      </c>
      <c r="N97" s="16">
        <f>F97*M97</f>
        <v>0</v>
      </c>
      <c r="O97" s="15" t="s">
        <v>1862</v>
      </c>
      <c r="P97" s="15" t="s">
        <v>2007</v>
      </c>
      <c r="Q97" s="1" t="s">
        <v>190</v>
      </c>
      <c r="R97" s="1" t="s">
        <v>770</v>
      </c>
      <c r="S97">
        <v>7.0000000000000001E-3</v>
      </c>
      <c r="T97" s="1" t="s">
        <v>1005</v>
      </c>
      <c r="Y97">
        <f>N97</f>
        <v>0</v>
      </c>
    </row>
    <row r="98" spans="1:25" ht="30" customHeight="1" x14ac:dyDescent="0.3">
      <c r="A98" s="15" t="s">
        <v>770</v>
      </c>
      <c r="B98" s="15" t="s">
        <v>769</v>
      </c>
      <c r="C98" s="15" t="s">
        <v>751</v>
      </c>
      <c r="D98" s="15" t="s">
        <v>752</v>
      </c>
      <c r="E98" s="15" t="s">
        <v>51</v>
      </c>
      <c r="F98" s="16">
        <f>SUM(Y96:Y97)</f>
        <v>1.0500000000000001E-2</v>
      </c>
      <c r="G98" s="16"/>
      <c r="H98" s="16"/>
      <c r="I98" s="16"/>
      <c r="J98" s="16"/>
      <c r="K98" s="16">
        <f>ROUND(F98*공량설정_일위대가!B62/100, 공량설정_일위대가!C63)</f>
        <v>1.0500000000000001E-2</v>
      </c>
      <c r="L98" s="15" t="s">
        <v>51</v>
      </c>
      <c r="M98" s="16"/>
      <c r="N98" s="16"/>
      <c r="O98" s="16" t="s">
        <v>1862</v>
      </c>
      <c r="P98" s="15" t="s">
        <v>51</v>
      </c>
      <c r="Q98" s="1" t="s">
        <v>190</v>
      </c>
      <c r="R98" s="1" t="s">
        <v>51</v>
      </c>
      <c r="T98" s="1" t="s">
        <v>1008</v>
      </c>
    </row>
    <row r="99" spans="1:25" ht="30" customHeight="1" x14ac:dyDescent="0.3">
      <c r="A99" s="40" t="s">
        <v>2043</v>
      </c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</row>
    <row r="100" spans="1:25" ht="30" customHeight="1" x14ac:dyDescent="0.3">
      <c r="A100" s="15" t="s">
        <v>1011</v>
      </c>
      <c r="B100" s="15" t="s">
        <v>846</v>
      </c>
      <c r="C100" s="15" t="s">
        <v>1010</v>
      </c>
      <c r="D100" s="15" t="s">
        <v>65</v>
      </c>
      <c r="E100" s="15" t="s">
        <v>1992</v>
      </c>
      <c r="F100" s="16">
        <v>1</v>
      </c>
      <c r="G100" s="16"/>
      <c r="H100" s="16">
        <v>50</v>
      </c>
      <c r="I100" s="16"/>
      <c r="J100" s="16"/>
      <c r="K100" s="16">
        <v>1</v>
      </c>
      <c r="L100" s="15" t="s">
        <v>769</v>
      </c>
      <c r="M100" s="16">
        <f>0.007*(H100+100)/100*(I100+100)/100*(J100+100)/100</f>
        <v>1.0500000000000001E-2</v>
      </c>
      <c r="N100" s="16">
        <f>F100*M100</f>
        <v>1.0500000000000001E-2</v>
      </c>
      <c r="O100" s="15" t="s">
        <v>1862</v>
      </c>
      <c r="P100" s="15" t="s">
        <v>2042</v>
      </c>
      <c r="Q100" s="1" t="s">
        <v>194</v>
      </c>
      <c r="R100" s="1" t="s">
        <v>770</v>
      </c>
      <c r="S100">
        <v>7.0000000000000001E-3</v>
      </c>
      <c r="T100" s="1" t="s">
        <v>1012</v>
      </c>
      <c r="Y100">
        <f>N100</f>
        <v>1.0500000000000001E-2</v>
      </c>
    </row>
    <row r="101" spans="1:25" ht="30" customHeight="1" x14ac:dyDescent="0.3">
      <c r="A101" s="15" t="s">
        <v>1011</v>
      </c>
      <c r="B101" s="15" t="s">
        <v>846</v>
      </c>
      <c r="C101" s="15" t="s">
        <v>1010</v>
      </c>
      <c r="D101" s="15" t="s">
        <v>65</v>
      </c>
      <c r="E101" s="15" t="s">
        <v>1992</v>
      </c>
      <c r="F101" s="16">
        <v>0</v>
      </c>
      <c r="G101" s="16"/>
      <c r="H101" s="16">
        <v>0</v>
      </c>
      <c r="I101" s="16"/>
      <c r="J101" s="16"/>
      <c r="K101" s="16">
        <v>0.1</v>
      </c>
      <c r="L101" s="15" t="s">
        <v>769</v>
      </c>
      <c r="M101" s="16">
        <f>0.007*(H101+100)/100*(I101+100)/100*(J101+100)/100</f>
        <v>7.000000000000001E-3</v>
      </c>
      <c r="N101" s="16">
        <f>F101*M101</f>
        <v>0</v>
      </c>
      <c r="O101" s="15" t="s">
        <v>1862</v>
      </c>
      <c r="P101" s="15" t="s">
        <v>2007</v>
      </c>
      <c r="Q101" s="1" t="s">
        <v>194</v>
      </c>
      <c r="R101" s="1" t="s">
        <v>770</v>
      </c>
      <c r="S101">
        <v>7.0000000000000001E-3</v>
      </c>
      <c r="T101" s="1" t="s">
        <v>1012</v>
      </c>
      <c r="Y101">
        <f>N101</f>
        <v>0</v>
      </c>
    </row>
    <row r="102" spans="1:25" ht="30" customHeight="1" x14ac:dyDescent="0.3">
      <c r="A102" s="15" t="s">
        <v>770</v>
      </c>
      <c r="B102" s="15" t="s">
        <v>769</v>
      </c>
      <c r="C102" s="15" t="s">
        <v>751</v>
      </c>
      <c r="D102" s="15" t="s">
        <v>752</v>
      </c>
      <c r="E102" s="15" t="s">
        <v>51</v>
      </c>
      <c r="F102" s="16">
        <f>SUM(Y100:Y101)</f>
        <v>1.0500000000000001E-2</v>
      </c>
      <c r="G102" s="16"/>
      <c r="H102" s="16"/>
      <c r="I102" s="16"/>
      <c r="J102" s="16"/>
      <c r="K102" s="16">
        <f>ROUND(F102*공량설정_일위대가!B64/100, 공량설정_일위대가!C65)</f>
        <v>1.0500000000000001E-2</v>
      </c>
      <c r="L102" s="15" t="s">
        <v>51</v>
      </c>
      <c r="M102" s="16"/>
      <c r="N102" s="16"/>
      <c r="O102" s="16" t="s">
        <v>1862</v>
      </c>
      <c r="P102" s="15" t="s">
        <v>51</v>
      </c>
      <c r="Q102" s="1" t="s">
        <v>194</v>
      </c>
      <c r="R102" s="1" t="s">
        <v>51</v>
      </c>
      <c r="T102" s="1" t="s">
        <v>1014</v>
      </c>
    </row>
    <row r="103" spans="1:25" ht="30" customHeight="1" x14ac:dyDescent="0.3">
      <c r="A103" s="40" t="s">
        <v>2044</v>
      </c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</row>
    <row r="104" spans="1:25" ht="30" customHeight="1" x14ac:dyDescent="0.3">
      <c r="A104" s="15" t="s">
        <v>848</v>
      </c>
      <c r="B104" s="15" t="s">
        <v>846</v>
      </c>
      <c r="C104" s="15" t="s">
        <v>847</v>
      </c>
      <c r="D104" s="15" t="s">
        <v>65</v>
      </c>
      <c r="E104" s="15" t="s">
        <v>1992</v>
      </c>
      <c r="F104" s="16">
        <v>1</v>
      </c>
      <c r="G104" s="16"/>
      <c r="H104" s="16">
        <v>50</v>
      </c>
      <c r="I104" s="16"/>
      <c r="J104" s="16"/>
      <c r="K104" s="16">
        <v>1</v>
      </c>
      <c r="L104" s="15" t="s">
        <v>769</v>
      </c>
      <c r="M104" s="16">
        <f>0.007*(H104+100)/100*(I104+100)/100*(J104+100)/100</f>
        <v>1.0500000000000001E-2</v>
      </c>
      <c r="N104" s="16">
        <f>F104*M104</f>
        <v>1.0500000000000001E-2</v>
      </c>
      <c r="O104" s="15" t="s">
        <v>1862</v>
      </c>
      <c r="P104" s="15" t="s">
        <v>2042</v>
      </c>
      <c r="Q104" s="1" t="s">
        <v>198</v>
      </c>
      <c r="R104" s="1" t="s">
        <v>770</v>
      </c>
      <c r="S104">
        <v>7.0000000000000001E-3</v>
      </c>
      <c r="T104" s="1" t="s">
        <v>1017</v>
      </c>
      <c r="Y104">
        <f>N104</f>
        <v>1.0500000000000001E-2</v>
      </c>
    </row>
    <row r="105" spans="1:25" ht="30" customHeight="1" x14ac:dyDescent="0.3">
      <c r="A105" s="15" t="s">
        <v>848</v>
      </c>
      <c r="B105" s="15" t="s">
        <v>846</v>
      </c>
      <c r="C105" s="15" t="s">
        <v>847</v>
      </c>
      <c r="D105" s="15" t="s">
        <v>65</v>
      </c>
      <c r="E105" s="15" t="s">
        <v>1992</v>
      </c>
      <c r="F105" s="16">
        <v>0</v>
      </c>
      <c r="G105" s="16"/>
      <c r="H105" s="16">
        <v>0</v>
      </c>
      <c r="I105" s="16"/>
      <c r="J105" s="16"/>
      <c r="K105" s="16">
        <v>0.1</v>
      </c>
      <c r="L105" s="15" t="s">
        <v>769</v>
      </c>
      <c r="M105" s="16">
        <f>0.007*(H105+100)/100*(I105+100)/100*(J105+100)/100</f>
        <v>7.000000000000001E-3</v>
      </c>
      <c r="N105" s="16">
        <f>F105*M105</f>
        <v>0</v>
      </c>
      <c r="O105" s="15" t="s">
        <v>1862</v>
      </c>
      <c r="P105" s="15" t="s">
        <v>2007</v>
      </c>
      <c r="Q105" s="1" t="s">
        <v>198</v>
      </c>
      <c r="R105" s="1" t="s">
        <v>770</v>
      </c>
      <c r="S105">
        <v>7.0000000000000001E-3</v>
      </c>
      <c r="T105" s="1" t="s">
        <v>1017</v>
      </c>
      <c r="Y105">
        <f>N105</f>
        <v>0</v>
      </c>
    </row>
    <row r="106" spans="1:25" ht="30" customHeight="1" x14ac:dyDescent="0.3">
      <c r="A106" s="15" t="s">
        <v>770</v>
      </c>
      <c r="B106" s="15" t="s">
        <v>769</v>
      </c>
      <c r="C106" s="15" t="s">
        <v>751</v>
      </c>
      <c r="D106" s="15" t="s">
        <v>752</v>
      </c>
      <c r="E106" s="15" t="s">
        <v>51</v>
      </c>
      <c r="F106" s="16">
        <f>SUM(Y104:Y105)</f>
        <v>1.0500000000000001E-2</v>
      </c>
      <c r="G106" s="16"/>
      <c r="H106" s="16"/>
      <c r="I106" s="16"/>
      <c r="J106" s="16"/>
      <c r="K106" s="16">
        <f>ROUND(F106*공량설정_일위대가!B66/100, 공량설정_일위대가!C67)</f>
        <v>1.0500000000000001E-2</v>
      </c>
      <c r="L106" s="15" t="s">
        <v>51</v>
      </c>
      <c r="M106" s="16"/>
      <c r="N106" s="16"/>
      <c r="O106" s="16" t="s">
        <v>1862</v>
      </c>
      <c r="P106" s="15" t="s">
        <v>51</v>
      </c>
      <c r="Q106" s="1" t="s">
        <v>198</v>
      </c>
      <c r="R106" s="1" t="s">
        <v>51</v>
      </c>
      <c r="T106" s="1" t="s">
        <v>1019</v>
      </c>
    </row>
    <row r="107" spans="1:25" ht="30" customHeight="1" x14ac:dyDescent="0.3">
      <c r="A107" s="40" t="s">
        <v>2045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</row>
    <row r="108" spans="1:25" ht="30" customHeight="1" x14ac:dyDescent="0.3">
      <c r="A108" s="15" t="s">
        <v>1023</v>
      </c>
      <c r="B108" s="15" t="s">
        <v>846</v>
      </c>
      <c r="C108" s="15" t="s">
        <v>1022</v>
      </c>
      <c r="D108" s="15" t="s">
        <v>65</v>
      </c>
      <c r="E108" s="15" t="s">
        <v>1992</v>
      </c>
      <c r="F108" s="16">
        <v>1</v>
      </c>
      <c r="G108" s="16"/>
      <c r="H108" s="16">
        <v>50</v>
      </c>
      <c r="I108" s="16"/>
      <c r="J108" s="16"/>
      <c r="K108" s="16">
        <v>1</v>
      </c>
      <c r="L108" s="15" t="s">
        <v>769</v>
      </c>
      <c r="M108" s="16">
        <f>0.008*(H108+100)/100*(I108+100)/100*(J108+100)/100</f>
        <v>1.2E-2</v>
      </c>
      <c r="N108" s="16">
        <f>F108*M108</f>
        <v>1.2E-2</v>
      </c>
      <c r="O108" s="15" t="s">
        <v>1862</v>
      </c>
      <c r="P108" s="15" t="s">
        <v>2046</v>
      </c>
      <c r="Q108" s="1" t="s">
        <v>202</v>
      </c>
      <c r="R108" s="1" t="s">
        <v>770</v>
      </c>
      <c r="S108">
        <v>8.0000000000000002E-3</v>
      </c>
      <c r="T108" s="1" t="s">
        <v>1024</v>
      </c>
      <c r="Y108">
        <f>N108</f>
        <v>1.2E-2</v>
      </c>
    </row>
    <row r="109" spans="1:25" ht="30" customHeight="1" x14ac:dyDescent="0.3">
      <c r="A109" s="15" t="s">
        <v>1023</v>
      </c>
      <c r="B109" s="15" t="s">
        <v>846</v>
      </c>
      <c r="C109" s="15" t="s">
        <v>1022</v>
      </c>
      <c r="D109" s="15" t="s">
        <v>65</v>
      </c>
      <c r="E109" s="15" t="s">
        <v>1992</v>
      </c>
      <c r="F109" s="16">
        <v>0</v>
      </c>
      <c r="G109" s="16"/>
      <c r="H109" s="16">
        <v>0</v>
      </c>
      <c r="I109" s="16"/>
      <c r="J109" s="16"/>
      <c r="K109" s="16">
        <v>0.1</v>
      </c>
      <c r="L109" s="15" t="s">
        <v>769</v>
      </c>
      <c r="M109" s="16">
        <f>0.008*(H109+100)/100*(I109+100)/100*(J109+100)/100</f>
        <v>8.0000000000000002E-3</v>
      </c>
      <c r="N109" s="16">
        <f>F109*M109</f>
        <v>0</v>
      </c>
      <c r="O109" s="15" t="s">
        <v>1862</v>
      </c>
      <c r="P109" s="15" t="s">
        <v>2047</v>
      </c>
      <c r="Q109" s="1" t="s">
        <v>202</v>
      </c>
      <c r="R109" s="1" t="s">
        <v>770</v>
      </c>
      <c r="S109">
        <v>8.0000000000000002E-3</v>
      </c>
      <c r="T109" s="1" t="s">
        <v>1024</v>
      </c>
      <c r="Y109">
        <f>N109</f>
        <v>0</v>
      </c>
    </row>
    <row r="110" spans="1:25" ht="30" customHeight="1" x14ac:dyDescent="0.3">
      <c r="A110" s="15" t="s">
        <v>770</v>
      </c>
      <c r="B110" s="15" t="s">
        <v>769</v>
      </c>
      <c r="C110" s="15" t="s">
        <v>751</v>
      </c>
      <c r="D110" s="15" t="s">
        <v>752</v>
      </c>
      <c r="E110" s="15" t="s">
        <v>51</v>
      </c>
      <c r="F110" s="16">
        <f>SUM(Y108:Y109)</f>
        <v>1.2E-2</v>
      </c>
      <c r="G110" s="16"/>
      <c r="H110" s="16"/>
      <c r="I110" s="16"/>
      <c r="J110" s="16"/>
      <c r="K110" s="16">
        <f>ROUND(F110*공량설정_일위대가!B68/100, 공량설정_일위대가!C69)</f>
        <v>1.2E-2</v>
      </c>
      <c r="L110" s="15" t="s">
        <v>51</v>
      </c>
      <c r="M110" s="16"/>
      <c r="N110" s="16"/>
      <c r="O110" s="16" t="s">
        <v>1862</v>
      </c>
      <c r="P110" s="15" t="s">
        <v>51</v>
      </c>
      <c r="Q110" s="1" t="s">
        <v>202</v>
      </c>
      <c r="R110" s="1" t="s">
        <v>51</v>
      </c>
      <c r="T110" s="1" t="s">
        <v>1026</v>
      </c>
    </row>
    <row r="111" spans="1:25" ht="30" customHeight="1" x14ac:dyDescent="0.3">
      <c r="A111" s="40" t="s">
        <v>2048</v>
      </c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</row>
    <row r="112" spans="1:25" ht="30" customHeight="1" x14ac:dyDescent="0.3">
      <c r="A112" s="15" t="s">
        <v>1030</v>
      </c>
      <c r="B112" s="15" t="s">
        <v>846</v>
      </c>
      <c r="C112" s="15" t="s">
        <v>1029</v>
      </c>
      <c r="D112" s="15" t="s">
        <v>65</v>
      </c>
      <c r="E112" s="15" t="s">
        <v>2049</v>
      </c>
      <c r="F112" s="16">
        <v>1</v>
      </c>
      <c r="G112" s="16"/>
      <c r="H112" s="16">
        <v>50</v>
      </c>
      <c r="I112" s="16"/>
      <c r="J112" s="16"/>
      <c r="K112" s="16">
        <v>1</v>
      </c>
      <c r="L112" s="15" t="s">
        <v>769</v>
      </c>
      <c r="M112" s="16">
        <f>0.008*(H112+100)/100*(I112+100)/100*(J112+100)/100</f>
        <v>1.2E-2</v>
      </c>
      <c r="N112" s="16">
        <f>F112*M112</f>
        <v>1.2E-2</v>
      </c>
      <c r="O112" s="15" t="s">
        <v>1862</v>
      </c>
      <c r="P112" s="15" t="s">
        <v>2046</v>
      </c>
      <c r="Q112" s="1" t="s">
        <v>206</v>
      </c>
      <c r="R112" s="1" t="s">
        <v>770</v>
      </c>
      <c r="S112">
        <v>8.0000000000000002E-3</v>
      </c>
      <c r="T112" s="1" t="s">
        <v>1031</v>
      </c>
      <c r="Y112">
        <f>N112</f>
        <v>1.2E-2</v>
      </c>
    </row>
    <row r="113" spans="1:25" ht="30" customHeight="1" x14ac:dyDescent="0.3">
      <c r="A113" s="15" t="s">
        <v>1030</v>
      </c>
      <c r="B113" s="15" t="s">
        <v>846</v>
      </c>
      <c r="C113" s="15" t="s">
        <v>1029</v>
      </c>
      <c r="D113" s="15" t="s">
        <v>65</v>
      </c>
      <c r="E113" s="15" t="s">
        <v>2049</v>
      </c>
      <c r="F113" s="16">
        <v>0</v>
      </c>
      <c r="G113" s="16"/>
      <c r="H113" s="16">
        <v>0</v>
      </c>
      <c r="I113" s="16"/>
      <c r="J113" s="16"/>
      <c r="K113" s="16">
        <v>0.1</v>
      </c>
      <c r="L113" s="15" t="s">
        <v>769</v>
      </c>
      <c r="M113" s="16">
        <f>0.008*(H113+100)/100*(I113+100)/100*(J113+100)/100</f>
        <v>8.0000000000000002E-3</v>
      </c>
      <c r="N113" s="16">
        <f>F113*M113</f>
        <v>0</v>
      </c>
      <c r="O113" s="15" t="s">
        <v>1862</v>
      </c>
      <c r="P113" s="15" t="s">
        <v>2047</v>
      </c>
      <c r="Q113" s="1" t="s">
        <v>206</v>
      </c>
      <c r="R113" s="1" t="s">
        <v>770</v>
      </c>
      <c r="S113">
        <v>8.0000000000000002E-3</v>
      </c>
      <c r="T113" s="1" t="s">
        <v>1031</v>
      </c>
      <c r="Y113">
        <f>N113</f>
        <v>0</v>
      </c>
    </row>
    <row r="114" spans="1:25" ht="30" customHeight="1" x14ac:dyDescent="0.3">
      <c r="A114" s="15" t="s">
        <v>770</v>
      </c>
      <c r="B114" s="15" t="s">
        <v>769</v>
      </c>
      <c r="C114" s="15" t="s">
        <v>751</v>
      </c>
      <c r="D114" s="15" t="s">
        <v>752</v>
      </c>
      <c r="E114" s="15" t="s">
        <v>51</v>
      </c>
      <c r="F114" s="16">
        <f>SUM(Y112:Y113)</f>
        <v>1.2E-2</v>
      </c>
      <c r="G114" s="16"/>
      <c r="H114" s="16"/>
      <c r="I114" s="16"/>
      <c r="J114" s="16"/>
      <c r="K114" s="16">
        <f>ROUND(F114*공량설정_일위대가!B70/100, 공량설정_일위대가!C71)</f>
        <v>1.2E-2</v>
      </c>
      <c r="L114" s="15" t="s">
        <v>51</v>
      </c>
      <c r="M114" s="16"/>
      <c r="N114" s="16"/>
      <c r="O114" s="16" t="s">
        <v>1862</v>
      </c>
      <c r="P114" s="15" t="s">
        <v>51</v>
      </c>
      <c r="Q114" s="1" t="s">
        <v>206</v>
      </c>
      <c r="R114" s="1" t="s">
        <v>51</v>
      </c>
      <c r="T114" s="1" t="s">
        <v>1034</v>
      </c>
    </row>
    <row r="115" spans="1:25" ht="30" customHeight="1" x14ac:dyDescent="0.3">
      <c r="A115" s="40" t="s">
        <v>2050</v>
      </c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</row>
    <row r="116" spans="1:25" ht="30" customHeight="1" x14ac:dyDescent="0.3">
      <c r="A116" s="15" t="s">
        <v>1039</v>
      </c>
      <c r="B116" s="15" t="s">
        <v>1037</v>
      </c>
      <c r="C116" s="15" t="s">
        <v>51</v>
      </c>
      <c r="D116" s="15" t="s">
        <v>211</v>
      </c>
      <c r="E116" s="15" t="s">
        <v>2051</v>
      </c>
      <c r="F116" s="16">
        <v>1</v>
      </c>
      <c r="G116" s="16">
        <v>0</v>
      </c>
      <c r="H116" s="16">
        <v>-65</v>
      </c>
      <c r="I116" s="16"/>
      <c r="J116" s="16"/>
      <c r="K116" s="16">
        <v>1</v>
      </c>
      <c r="L116" s="15" t="s">
        <v>769</v>
      </c>
      <c r="M116" s="16">
        <f>0.962*(H116+100)/100*(I116+100)/100*(J116+100)/100</f>
        <v>0.3367</v>
      </c>
      <c r="N116" s="16">
        <f>F116*M116</f>
        <v>0.3367</v>
      </c>
      <c r="O116" s="15" t="s">
        <v>1862</v>
      </c>
      <c r="P116" s="15" t="s">
        <v>2052</v>
      </c>
      <c r="Q116" s="1" t="s">
        <v>213</v>
      </c>
      <c r="R116" s="1" t="s">
        <v>770</v>
      </c>
      <c r="S116">
        <v>0.96199999999999997</v>
      </c>
      <c r="T116" s="1" t="s">
        <v>1040</v>
      </c>
      <c r="Y116">
        <f>N116</f>
        <v>0.3367</v>
      </c>
    </row>
    <row r="117" spans="1:25" ht="30" customHeight="1" x14ac:dyDescent="0.3">
      <c r="A117" s="15" t="s">
        <v>770</v>
      </c>
      <c r="B117" s="15" t="s">
        <v>769</v>
      </c>
      <c r="C117" s="15" t="s">
        <v>751</v>
      </c>
      <c r="D117" s="15" t="s">
        <v>752</v>
      </c>
      <c r="E117" s="15" t="s">
        <v>51</v>
      </c>
      <c r="F117" s="16">
        <f>SUM(Y116:Y116)</f>
        <v>0.3367</v>
      </c>
      <c r="G117" s="16"/>
      <c r="H117" s="16"/>
      <c r="I117" s="16"/>
      <c r="J117" s="16"/>
      <c r="K117" s="16">
        <f>ROUND(F117*공량설정_일위대가!B72/100, 공량설정_일위대가!C73)</f>
        <v>0.3367</v>
      </c>
      <c r="L117" s="15" t="s">
        <v>51</v>
      </c>
      <c r="M117" s="16"/>
      <c r="N117" s="16"/>
      <c r="O117" s="16" t="s">
        <v>1862</v>
      </c>
      <c r="P117" s="15" t="s">
        <v>51</v>
      </c>
      <c r="Q117" s="1" t="s">
        <v>213</v>
      </c>
      <c r="R117" s="1" t="s">
        <v>51</v>
      </c>
      <c r="T117" s="1" t="s">
        <v>1041</v>
      </c>
    </row>
    <row r="118" spans="1:25" ht="30" customHeight="1" x14ac:dyDescent="0.3">
      <c r="A118" s="40" t="s">
        <v>2053</v>
      </c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1:25" ht="30" customHeight="1" x14ac:dyDescent="0.3">
      <c r="A119" s="15" t="s">
        <v>1046</v>
      </c>
      <c r="B119" s="15" t="s">
        <v>1044</v>
      </c>
      <c r="C119" s="15" t="s">
        <v>51</v>
      </c>
      <c r="D119" s="15" t="s">
        <v>211</v>
      </c>
      <c r="E119" s="15" t="s">
        <v>2051</v>
      </c>
      <c r="F119" s="16">
        <v>1</v>
      </c>
      <c r="G119" s="16">
        <v>0</v>
      </c>
      <c r="H119" s="16">
        <v>-65</v>
      </c>
      <c r="I119" s="16"/>
      <c r="J119" s="16"/>
      <c r="K119" s="16">
        <v>1</v>
      </c>
      <c r="L119" s="15" t="s">
        <v>769</v>
      </c>
      <c r="M119" s="16">
        <f>4.606*(H119+100)/100*(I119+100)/100*(J119+100)/100</f>
        <v>1.6121000000000001</v>
      </c>
      <c r="N119" s="16">
        <f>F119*M119</f>
        <v>1.6121000000000001</v>
      </c>
      <c r="O119" s="15" t="s">
        <v>1862</v>
      </c>
      <c r="P119" s="15" t="s">
        <v>2054</v>
      </c>
      <c r="Q119" s="1" t="s">
        <v>217</v>
      </c>
      <c r="R119" s="1" t="s">
        <v>770</v>
      </c>
      <c r="S119">
        <v>4.6059999999999999</v>
      </c>
      <c r="T119" s="1" t="s">
        <v>1047</v>
      </c>
      <c r="Y119">
        <f>N119</f>
        <v>1.6121000000000001</v>
      </c>
    </row>
    <row r="120" spans="1:25" ht="30" customHeight="1" x14ac:dyDescent="0.3">
      <c r="A120" s="15" t="s">
        <v>770</v>
      </c>
      <c r="B120" s="15" t="s">
        <v>769</v>
      </c>
      <c r="C120" s="15" t="s">
        <v>751</v>
      </c>
      <c r="D120" s="15" t="s">
        <v>752</v>
      </c>
      <c r="E120" s="15" t="s">
        <v>51</v>
      </c>
      <c r="F120" s="16">
        <f>SUM(Y119:Y119)</f>
        <v>1.6121000000000001</v>
      </c>
      <c r="G120" s="16"/>
      <c r="H120" s="16"/>
      <c r="I120" s="16"/>
      <c r="J120" s="16"/>
      <c r="K120" s="16">
        <f>ROUND(F120*공량설정_일위대가!B74/100, 공량설정_일위대가!C75)</f>
        <v>1.6121000000000001</v>
      </c>
      <c r="L120" s="15" t="s">
        <v>51</v>
      </c>
      <c r="M120" s="16"/>
      <c r="N120" s="16"/>
      <c r="O120" s="16" t="s">
        <v>1862</v>
      </c>
      <c r="P120" s="15" t="s">
        <v>51</v>
      </c>
      <c r="Q120" s="1" t="s">
        <v>217</v>
      </c>
      <c r="R120" s="1" t="s">
        <v>51</v>
      </c>
      <c r="T120" s="1" t="s">
        <v>1048</v>
      </c>
    </row>
    <row r="121" spans="1:25" ht="30" customHeight="1" x14ac:dyDescent="0.3">
      <c r="A121" s="40" t="s">
        <v>2055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1:25" ht="30" customHeight="1" x14ac:dyDescent="0.3">
      <c r="A122" s="15" t="s">
        <v>1053</v>
      </c>
      <c r="B122" s="15" t="s">
        <v>1051</v>
      </c>
      <c r="C122" s="15" t="s">
        <v>51</v>
      </c>
      <c r="D122" s="15" t="s">
        <v>211</v>
      </c>
      <c r="E122" s="15" t="s">
        <v>2051</v>
      </c>
      <c r="F122" s="16">
        <v>1</v>
      </c>
      <c r="G122" s="16">
        <v>0</v>
      </c>
      <c r="H122" s="16">
        <v>-10</v>
      </c>
      <c r="I122" s="16">
        <v>-65</v>
      </c>
      <c r="J122" s="16"/>
      <c r="K122" s="16">
        <v>1</v>
      </c>
      <c r="L122" s="15" t="s">
        <v>769</v>
      </c>
      <c r="M122" s="16">
        <f>22.646*(H122+100)/100*(I122+100)/100*(J122+100)/100</f>
        <v>7.1334899999999992</v>
      </c>
      <c r="N122" s="16">
        <f>F122*M122</f>
        <v>7.1334899999999992</v>
      </c>
      <c r="O122" s="15" t="s">
        <v>1862</v>
      </c>
      <c r="P122" s="15" t="s">
        <v>2056</v>
      </c>
      <c r="Q122" s="1" t="s">
        <v>228</v>
      </c>
      <c r="R122" s="1" t="s">
        <v>770</v>
      </c>
      <c r="S122">
        <v>22.646000000000001</v>
      </c>
      <c r="T122" s="1" t="s">
        <v>1054</v>
      </c>
      <c r="Y122">
        <f>N122</f>
        <v>7.1334899999999992</v>
      </c>
    </row>
    <row r="123" spans="1:25" ht="30" customHeight="1" x14ac:dyDescent="0.3">
      <c r="A123" s="15" t="s">
        <v>770</v>
      </c>
      <c r="B123" s="15" t="s">
        <v>769</v>
      </c>
      <c r="C123" s="15" t="s">
        <v>751</v>
      </c>
      <c r="D123" s="15" t="s">
        <v>752</v>
      </c>
      <c r="E123" s="15" t="s">
        <v>51</v>
      </c>
      <c r="F123" s="16">
        <f>SUM(Y122:Y122)</f>
        <v>7.1334899999999992</v>
      </c>
      <c r="G123" s="16"/>
      <c r="H123" s="16"/>
      <c r="I123" s="16"/>
      <c r="J123" s="16"/>
      <c r="K123" s="16">
        <f>ROUND(F123*공량설정_일위대가!B76/100, 공량설정_일위대가!C77)</f>
        <v>7.1334999999999997</v>
      </c>
      <c r="L123" s="15" t="s">
        <v>51</v>
      </c>
      <c r="M123" s="16"/>
      <c r="N123" s="16"/>
      <c r="O123" s="16" t="s">
        <v>1862</v>
      </c>
      <c r="P123" s="15" t="s">
        <v>51</v>
      </c>
      <c r="Q123" s="1" t="s">
        <v>228</v>
      </c>
      <c r="R123" s="1" t="s">
        <v>51</v>
      </c>
      <c r="T123" s="1" t="s">
        <v>1055</v>
      </c>
    </row>
    <row r="124" spans="1:25" ht="30" customHeight="1" x14ac:dyDescent="0.3">
      <c r="A124" s="40" t="s">
        <v>2057</v>
      </c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1:25" ht="30" customHeight="1" x14ac:dyDescent="0.3">
      <c r="A125" s="15" t="s">
        <v>1060</v>
      </c>
      <c r="B125" s="15" t="s">
        <v>1058</v>
      </c>
      <c r="C125" s="15" t="s">
        <v>51</v>
      </c>
      <c r="D125" s="15" t="s">
        <v>211</v>
      </c>
      <c r="E125" s="15" t="s">
        <v>2051</v>
      </c>
      <c r="F125" s="16">
        <v>1</v>
      </c>
      <c r="G125" s="16">
        <v>0</v>
      </c>
      <c r="H125" s="16">
        <v>-10</v>
      </c>
      <c r="I125" s="16">
        <v>-65</v>
      </c>
      <c r="J125" s="16"/>
      <c r="K125" s="16">
        <v>1</v>
      </c>
      <c r="L125" s="15" t="s">
        <v>769</v>
      </c>
      <c r="M125" s="16">
        <f>7.199*(H125+100)/100*(I125+100)/100*(J125+100)/100</f>
        <v>2.2676849999999997</v>
      </c>
      <c r="N125" s="16">
        <f>F125*M125</f>
        <v>2.2676849999999997</v>
      </c>
      <c r="O125" s="15" t="s">
        <v>1862</v>
      </c>
      <c r="P125" s="15" t="s">
        <v>2058</v>
      </c>
      <c r="Q125" s="1" t="s">
        <v>232</v>
      </c>
      <c r="R125" s="1" t="s">
        <v>770</v>
      </c>
      <c r="S125">
        <v>7.1989999999999998</v>
      </c>
      <c r="T125" s="1" t="s">
        <v>1061</v>
      </c>
      <c r="Y125">
        <f>N125</f>
        <v>2.2676849999999997</v>
      </c>
    </row>
    <row r="126" spans="1:25" ht="30" customHeight="1" x14ac:dyDescent="0.3">
      <c r="A126" s="15" t="s">
        <v>770</v>
      </c>
      <c r="B126" s="15" t="s">
        <v>769</v>
      </c>
      <c r="C126" s="15" t="s">
        <v>751</v>
      </c>
      <c r="D126" s="15" t="s">
        <v>752</v>
      </c>
      <c r="E126" s="15" t="s">
        <v>51</v>
      </c>
      <c r="F126" s="16">
        <f>SUM(Y125:Y125)</f>
        <v>2.2676849999999997</v>
      </c>
      <c r="G126" s="16"/>
      <c r="H126" s="16"/>
      <c r="I126" s="16"/>
      <c r="J126" s="16"/>
      <c r="K126" s="16">
        <f>ROUND(F126*공량설정_일위대가!B78/100, 공량설정_일위대가!C79)</f>
        <v>2.2677</v>
      </c>
      <c r="L126" s="15" t="s">
        <v>51</v>
      </c>
      <c r="M126" s="16"/>
      <c r="N126" s="16"/>
      <c r="O126" s="16" t="s">
        <v>1862</v>
      </c>
      <c r="P126" s="15" t="s">
        <v>51</v>
      </c>
      <c r="Q126" s="1" t="s">
        <v>232</v>
      </c>
      <c r="R126" s="1" t="s">
        <v>51</v>
      </c>
      <c r="T126" s="1" t="s">
        <v>1062</v>
      </c>
    </row>
    <row r="127" spans="1:25" ht="30" customHeight="1" x14ac:dyDescent="0.3">
      <c r="A127" s="40" t="s">
        <v>2059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1:25" ht="30" customHeight="1" x14ac:dyDescent="0.3">
      <c r="A128" s="15" t="s">
        <v>1067</v>
      </c>
      <c r="B128" s="15" t="s">
        <v>1065</v>
      </c>
      <c r="C128" s="15" t="s">
        <v>51</v>
      </c>
      <c r="D128" s="15" t="s">
        <v>211</v>
      </c>
      <c r="E128" s="15" t="s">
        <v>2051</v>
      </c>
      <c r="F128" s="16">
        <v>1</v>
      </c>
      <c r="G128" s="16">
        <v>0</v>
      </c>
      <c r="H128" s="16">
        <v>-10</v>
      </c>
      <c r="I128" s="16">
        <v>-65</v>
      </c>
      <c r="J128" s="16"/>
      <c r="K128" s="16">
        <v>1</v>
      </c>
      <c r="L128" s="15" t="s">
        <v>769</v>
      </c>
      <c r="M128" s="16">
        <f>8.839*(H128+100)/100*(I128+100)/100*(J128+100)/100</f>
        <v>2.7842849999999997</v>
      </c>
      <c r="N128" s="16">
        <f>F128*M128</f>
        <v>2.7842849999999997</v>
      </c>
      <c r="O128" s="15" t="s">
        <v>1862</v>
      </c>
      <c r="P128" s="15" t="s">
        <v>2060</v>
      </c>
      <c r="Q128" s="1" t="s">
        <v>236</v>
      </c>
      <c r="R128" s="1" t="s">
        <v>770</v>
      </c>
      <c r="S128">
        <v>8.8390000000000004</v>
      </c>
      <c r="T128" s="1" t="s">
        <v>1068</v>
      </c>
      <c r="Y128">
        <f>N128</f>
        <v>2.7842849999999997</v>
      </c>
    </row>
    <row r="129" spans="1:25" ht="30" customHeight="1" x14ac:dyDescent="0.3">
      <c r="A129" s="15" t="s">
        <v>770</v>
      </c>
      <c r="B129" s="15" t="s">
        <v>769</v>
      </c>
      <c r="C129" s="15" t="s">
        <v>751</v>
      </c>
      <c r="D129" s="15" t="s">
        <v>752</v>
      </c>
      <c r="E129" s="15" t="s">
        <v>51</v>
      </c>
      <c r="F129" s="16">
        <f>SUM(Y128:Y128)</f>
        <v>2.7842849999999997</v>
      </c>
      <c r="G129" s="16"/>
      <c r="H129" s="16"/>
      <c r="I129" s="16"/>
      <c r="J129" s="16"/>
      <c r="K129" s="16">
        <f>ROUND(F129*공량설정_일위대가!B80/100, 공량설정_일위대가!C81)</f>
        <v>2.7843</v>
      </c>
      <c r="L129" s="15" t="s">
        <v>51</v>
      </c>
      <c r="M129" s="16"/>
      <c r="N129" s="16"/>
      <c r="O129" s="16" t="s">
        <v>1862</v>
      </c>
      <c r="P129" s="15" t="s">
        <v>51</v>
      </c>
      <c r="Q129" s="1" t="s">
        <v>236</v>
      </c>
      <c r="R129" s="1" t="s">
        <v>51</v>
      </c>
      <c r="T129" s="1" t="s">
        <v>1069</v>
      </c>
    </row>
    <row r="130" spans="1:25" ht="30" customHeight="1" x14ac:dyDescent="0.3">
      <c r="A130" s="40" t="s">
        <v>2061</v>
      </c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1:25" ht="30" customHeight="1" x14ac:dyDescent="0.3">
      <c r="A131" s="15" t="s">
        <v>1074</v>
      </c>
      <c r="B131" s="15" t="s">
        <v>1072</v>
      </c>
      <c r="C131" s="15" t="s">
        <v>51</v>
      </c>
      <c r="D131" s="15" t="s">
        <v>211</v>
      </c>
      <c r="E131" s="15" t="s">
        <v>2051</v>
      </c>
      <c r="F131" s="16">
        <v>1</v>
      </c>
      <c r="G131" s="16">
        <v>0</v>
      </c>
      <c r="H131" s="16">
        <v>-10</v>
      </c>
      <c r="I131" s="16">
        <v>-65</v>
      </c>
      <c r="J131" s="16"/>
      <c r="K131" s="16">
        <v>1</v>
      </c>
      <c r="L131" s="15" t="s">
        <v>769</v>
      </c>
      <c r="M131" s="16">
        <f>11.589*(H131+100)/100*(I131+100)/100*(J131+100)/100</f>
        <v>3.6505349999999996</v>
      </c>
      <c r="N131" s="16">
        <f>F131*M131</f>
        <v>3.6505349999999996</v>
      </c>
      <c r="O131" s="15" t="s">
        <v>1862</v>
      </c>
      <c r="P131" s="15" t="s">
        <v>2062</v>
      </c>
      <c r="Q131" s="1" t="s">
        <v>240</v>
      </c>
      <c r="R131" s="1" t="s">
        <v>770</v>
      </c>
      <c r="S131">
        <v>11.589</v>
      </c>
      <c r="T131" s="1" t="s">
        <v>1075</v>
      </c>
      <c r="Y131">
        <f>N131</f>
        <v>3.6505349999999996</v>
      </c>
    </row>
    <row r="132" spans="1:25" ht="30" customHeight="1" x14ac:dyDescent="0.3">
      <c r="A132" s="15" t="s">
        <v>770</v>
      </c>
      <c r="B132" s="15" t="s">
        <v>769</v>
      </c>
      <c r="C132" s="15" t="s">
        <v>751</v>
      </c>
      <c r="D132" s="15" t="s">
        <v>752</v>
      </c>
      <c r="E132" s="15" t="s">
        <v>51</v>
      </c>
      <c r="F132" s="16">
        <f>SUM(Y131:Y131)</f>
        <v>3.6505349999999996</v>
      </c>
      <c r="G132" s="16"/>
      <c r="H132" s="16"/>
      <c r="I132" s="16"/>
      <c r="J132" s="16"/>
      <c r="K132" s="16">
        <f>ROUND(F132*공량설정_일위대가!B82/100, 공량설정_일위대가!C83)</f>
        <v>3.6505000000000001</v>
      </c>
      <c r="L132" s="15" t="s">
        <v>51</v>
      </c>
      <c r="M132" s="16"/>
      <c r="N132" s="16"/>
      <c r="O132" s="16" t="s">
        <v>1862</v>
      </c>
      <c r="P132" s="15" t="s">
        <v>51</v>
      </c>
      <c r="Q132" s="1" t="s">
        <v>240</v>
      </c>
      <c r="R132" s="1" t="s">
        <v>51</v>
      </c>
      <c r="T132" s="1" t="s">
        <v>1076</v>
      </c>
    </row>
    <row r="133" spans="1:25" ht="30" customHeight="1" x14ac:dyDescent="0.3">
      <c r="A133" s="40" t="s">
        <v>2063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1:25" ht="30" customHeight="1" x14ac:dyDescent="0.3">
      <c r="A134" s="15" t="s">
        <v>1080</v>
      </c>
      <c r="B134" s="15" t="s">
        <v>242</v>
      </c>
      <c r="C134" s="15" t="s">
        <v>1079</v>
      </c>
      <c r="D134" s="15" t="s">
        <v>65</v>
      </c>
      <c r="E134" s="15" t="s">
        <v>2018</v>
      </c>
      <c r="F134" s="16">
        <v>1</v>
      </c>
      <c r="G134" s="16"/>
      <c r="H134" s="16">
        <v>-10</v>
      </c>
      <c r="I134" s="16"/>
      <c r="J134" s="16"/>
      <c r="K134" s="16">
        <v>1</v>
      </c>
      <c r="L134" s="15" t="s">
        <v>769</v>
      </c>
      <c r="M134" s="16">
        <f>0.34*(H134+100)/100*(I134+100)/100*(J134+100)/100</f>
        <v>0.30599999999999999</v>
      </c>
      <c r="N134" s="16">
        <f>F134*M134</f>
        <v>0.30599999999999999</v>
      </c>
      <c r="O134" s="15" t="s">
        <v>1862</v>
      </c>
      <c r="P134" s="15" t="s">
        <v>2064</v>
      </c>
      <c r="Q134" s="1" t="s">
        <v>245</v>
      </c>
      <c r="R134" s="1" t="s">
        <v>770</v>
      </c>
      <c r="S134">
        <v>0.34</v>
      </c>
      <c r="T134" s="1" t="s">
        <v>1081</v>
      </c>
      <c r="Y134">
        <f>N134</f>
        <v>0.30599999999999999</v>
      </c>
    </row>
    <row r="135" spans="1:25" ht="30" customHeight="1" x14ac:dyDescent="0.3">
      <c r="A135" s="15" t="s">
        <v>1080</v>
      </c>
      <c r="B135" s="15" t="s">
        <v>242</v>
      </c>
      <c r="C135" s="15" t="s">
        <v>1079</v>
      </c>
      <c r="D135" s="15" t="s">
        <v>65</v>
      </c>
      <c r="E135" s="15" t="s">
        <v>2018</v>
      </c>
      <c r="F135" s="16">
        <v>0</v>
      </c>
      <c r="G135" s="16"/>
      <c r="H135" s="16">
        <v>0</v>
      </c>
      <c r="I135" s="16"/>
      <c r="J135" s="16"/>
      <c r="K135" s="16">
        <v>0.1</v>
      </c>
      <c r="L135" s="15" t="s">
        <v>769</v>
      </c>
      <c r="M135" s="16">
        <f>0.34*(H135+100)/100*(I135+100)/100*(J135+100)/100</f>
        <v>0.34</v>
      </c>
      <c r="N135" s="16">
        <f>F135*M135</f>
        <v>0</v>
      </c>
      <c r="O135" s="15" t="s">
        <v>1862</v>
      </c>
      <c r="P135" s="15" t="s">
        <v>2065</v>
      </c>
      <c r="Q135" s="1" t="s">
        <v>245</v>
      </c>
      <c r="R135" s="1" t="s">
        <v>770</v>
      </c>
      <c r="S135">
        <v>0.34</v>
      </c>
      <c r="T135" s="1" t="s">
        <v>1081</v>
      </c>
      <c r="Y135">
        <f>N135</f>
        <v>0</v>
      </c>
    </row>
    <row r="136" spans="1:25" ht="30" customHeight="1" x14ac:dyDescent="0.3">
      <c r="A136" s="15" t="s">
        <v>770</v>
      </c>
      <c r="B136" s="15" t="s">
        <v>769</v>
      </c>
      <c r="C136" s="15" t="s">
        <v>751</v>
      </c>
      <c r="D136" s="15" t="s">
        <v>752</v>
      </c>
      <c r="E136" s="15" t="s">
        <v>51</v>
      </c>
      <c r="F136" s="16">
        <f>SUM(Y134:Y135)</f>
        <v>0.30599999999999999</v>
      </c>
      <c r="G136" s="16"/>
      <c r="H136" s="16"/>
      <c r="I136" s="16"/>
      <c r="J136" s="16"/>
      <c r="K136" s="16">
        <f>ROUND(F136*공량설정_일위대가!B84/100, 공량설정_일위대가!C85)</f>
        <v>0.30599999999999999</v>
      </c>
      <c r="L136" s="15" t="s">
        <v>51</v>
      </c>
      <c r="M136" s="16"/>
      <c r="N136" s="16"/>
      <c r="O136" s="16" t="s">
        <v>1862</v>
      </c>
      <c r="P136" s="15" t="s">
        <v>51</v>
      </c>
      <c r="Q136" s="1" t="s">
        <v>245</v>
      </c>
      <c r="R136" s="1" t="s">
        <v>51</v>
      </c>
      <c r="T136" s="1" t="s">
        <v>1084</v>
      </c>
    </row>
    <row r="137" spans="1:25" ht="30" customHeight="1" x14ac:dyDescent="0.3">
      <c r="A137" s="40" t="s">
        <v>2066</v>
      </c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1:25" ht="30" customHeight="1" x14ac:dyDescent="0.3">
      <c r="A138" s="15" t="s">
        <v>1088</v>
      </c>
      <c r="B138" s="15" t="s">
        <v>242</v>
      </c>
      <c r="C138" s="15" t="s">
        <v>1087</v>
      </c>
      <c r="D138" s="15" t="s">
        <v>65</v>
      </c>
      <c r="E138" s="15" t="s">
        <v>2018</v>
      </c>
      <c r="F138" s="16">
        <v>1</v>
      </c>
      <c r="G138" s="16"/>
      <c r="H138" s="16">
        <v>-10</v>
      </c>
      <c r="I138" s="16"/>
      <c r="J138" s="16"/>
      <c r="K138" s="16">
        <v>1</v>
      </c>
      <c r="L138" s="15" t="s">
        <v>769</v>
      </c>
      <c r="M138" s="16">
        <f>0.44*(H138+100)/100*(I138+100)/100*(J138+100)/100</f>
        <v>0.39600000000000002</v>
      </c>
      <c r="N138" s="16">
        <f>F138*M138</f>
        <v>0.39600000000000002</v>
      </c>
      <c r="O138" s="15" t="s">
        <v>1862</v>
      </c>
      <c r="P138" s="15" t="s">
        <v>2067</v>
      </c>
      <c r="Q138" s="1" t="s">
        <v>249</v>
      </c>
      <c r="R138" s="1" t="s">
        <v>770</v>
      </c>
      <c r="S138">
        <v>0.44</v>
      </c>
      <c r="T138" s="1" t="s">
        <v>1089</v>
      </c>
      <c r="Y138">
        <f>N138</f>
        <v>0.39600000000000002</v>
      </c>
    </row>
    <row r="139" spans="1:25" ht="30" customHeight="1" x14ac:dyDescent="0.3">
      <c r="A139" s="15" t="s">
        <v>1088</v>
      </c>
      <c r="B139" s="15" t="s">
        <v>242</v>
      </c>
      <c r="C139" s="15" t="s">
        <v>1087</v>
      </c>
      <c r="D139" s="15" t="s">
        <v>65</v>
      </c>
      <c r="E139" s="15" t="s">
        <v>2018</v>
      </c>
      <c r="F139" s="16">
        <v>0</v>
      </c>
      <c r="G139" s="16"/>
      <c r="H139" s="16">
        <v>0</v>
      </c>
      <c r="I139" s="16"/>
      <c r="J139" s="16"/>
      <c r="K139" s="16">
        <v>0.1</v>
      </c>
      <c r="L139" s="15" t="s">
        <v>769</v>
      </c>
      <c r="M139" s="16">
        <f>0.44*(H139+100)/100*(I139+100)/100*(J139+100)/100</f>
        <v>0.44</v>
      </c>
      <c r="N139" s="16">
        <f>F139*M139</f>
        <v>0</v>
      </c>
      <c r="O139" s="15" t="s">
        <v>1862</v>
      </c>
      <c r="P139" s="15" t="s">
        <v>2068</v>
      </c>
      <c r="Q139" s="1" t="s">
        <v>249</v>
      </c>
      <c r="R139" s="1" t="s">
        <v>770</v>
      </c>
      <c r="S139">
        <v>0.44</v>
      </c>
      <c r="T139" s="1" t="s">
        <v>1089</v>
      </c>
      <c r="Y139">
        <f>N139</f>
        <v>0</v>
      </c>
    </row>
    <row r="140" spans="1:25" ht="30" customHeight="1" x14ac:dyDescent="0.3">
      <c r="A140" s="15" t="s">
        <v>770</v>
      </c>
      <c r="B140" s="15" t="s">
        <v>769</v>
      </c>
      <c r="C140" s="15" t="s">
        <v>751</v>
      </c>
      <c r="D140" s="15" t="s">
        <v>752</v>
      </c>
      <c r="E140" s="15" t="s">
        <v>51</v>
      </c>
      <c r="F140" s="16">
        <f>SUM(Y138:Y139)</f>
        <v>0.39600000000000002</v>
      </c>
      <c r="G140" s="16"/>
      <c r="H140" s="16"/>
      <c r="I140" s="16"/>
      <c r="J140" s="16"/>
      <c r="K140" s="16">
        <f>ROUND(F140*공량설정_일위대가!B86/100, 공량설정_일위대가!C87)</f>
        <v>0.39600000000000002</v>
      </c>
      <c r="L140" s="15" t="s">
        <v>51</v>
      </c>
      <c r="M140" s="16"/>
      <c r="N140" s="16"/>
      <c r="O140" s="16" t="s">
        <v>1862</v>
      </c>
      <c r="P140" s="15" t="s">
        <v>51</v>
      </c>
      <c r="Q140" s="1" t="s">
        <v>249</v>
      </c>
      <c r="R140" s="1" t="s">
        <v>51</v>
      </c>
      <c r="T140" s="1" t="s">
        <v>1092</v>
      </c>
    </row>
    <row r="141" spans="1:25" ht="30" customHeight="1" x14ac:dyDescent="0.3">
      <c r="A141" s="40" t="s">
        <v>2069</v>
      </c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1:25" ht="30" customHeight="1" x14ac:dyDescent="0.3">
      <c r="A142" s="15" t="s">
        <v>1105</v>
      </c>
      <c r="B142" s="15" t="s">
        <v>1103</v>
      </c>
      <c r="C142" s="15" t="s">
        <v>1104</v>
      </c>
      <c r="D142" s="15" t="s">
        <v>58</v>
      </c>
      <c r="E142" s="15" t="s">
        <v>2070</v>
      </c>
      <c r="F142" s="16">
        <v>1</v>
      </c>
      <c r="G142" s="16"/>
      <c r="H142" s="16">
        <v>0</v>
      </c>
      <c r="I142" s="16"/>
      <c r="J142" s="16"/>
      <c r="K142" s="16">
        <v>1</v>
      </c>
      <c r="L142" s="15" t="s">
        <v>769</v>
      </c>
      <c r="M142" s="16">
        <f>0.036*(H142+100)/100*(I142+100)/100*(J142+100)/100</f>
        <v>3.5999999999999997E-2</v>
      </c>
      <c r="N142" s="16">
        <f>F142*M142</f>
        <v>3.5999999999999997E-2</v>
      </c>
      <c r="O142" s="15" t="s">
        <v>1862</v>
      </c>
      <c r="P142" s="15" t="s">
        <v>2024</v>
      </c>
      <c r="Q142" s="1" t="s">
        <v>254</v>
      </c>
      <c r="R142" s="1" t="s">
        <v>770</v>
      </c>
      <c r="S142">
        <v>3.5999999999999997E-2</v>
      </c>
      <c r="T142" s="1" t="s">
        <v>1106</v>
      </c>
      <c r="Y142">
        <f>N142</f>
        <v>3.5999999999999997E-2</v>
      </c>
    </row>
    <row r="143" spans="1:25" ht="30" customHeight="1" x14ac:dyDescent="0.3">
      <c r="A143" s="15" t="s">
        <v>770</v>
      </c>
      <c r="B143" s="15" t="s">
        <v>769</v>
      </c>
      <c r="C143" s="15" t="s">
        <v>751</v>
      </c>
      <c r="D143" s="15" t="s">
        <v>752</v>
      </c>
      <c r="E143" s="15" t="s">
        <v>51</v>
      </c>
      <c r="F143" s="16">
        <f>SUM(Y142:Y142)</f>
        <v>3.5999999999999997E-2</v>
      </c>
      <c r="G143" s="16"/>
      <c r="H143" s="16"/>
      <c r="I143" s="16"/>
      <c r="J143" s="16"/>
      <c r="K143" s="16">
        <f>ROUND(F143*공량설정_일위대가!B88/100, 공량설정_일위대가!C89)</f>
        <v>3.5999999999999997E-2</v>
      </c>
      <c r="L143" s="15" t="s">
        <v>51</v>
      </c>
      <c r="M143" s="16"/>
      <c r="N143" s="16"/>
      <c r="O143" s="16" t="s">
        <v>1862</v>
      </c>
      <c r="P143" s="15" t="s">
        <v>51</v>
      </c>
      <c r="Q143" s="1" t="s">
        <v>254</v>
      </c>
      <c r="R143" s="1" t="s">
        <v>51</v>
      </c>
      <c r="T143" s="1" t="s">
        <v>1115</v>
      </c>
    </row>
    <row r="144" spans="1:25" ht="30" customHeight="1" x14ac:dyDescent="0.3">
      <c r="A144" s="40" t="s">
        <v>2071</v>
      </c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1:27" ht="30" customHeight="1" x14ac:dyDescent="0.3">
      <c r="A145" s="15" t="s">
        <v>1105</v>
      </c>
      <c r="B145" s="15" t="s">
        <v>1103</v>
      </c>
      <c r="C145" s="15" t="s">
        <v>1104</v>
      </c>
      <c r="D145" s="15" t="s">
        <v>58</v>
      </c>
      <c r="E145" s="15" t="s">
        <v>2070</v>
      </c>
      <c r="F145" s="16">
        <v>1</v>
      </c>
      <c r="G145" s="16"/>
      <c r="H145" s="16">
        <v>0</v>
      </c>
      <c r="I145" s="16"/>
      <c r="J145" s="16"/>
      <c r="K145" s="16">
        <v>1</v>
      </c>
      <c r="L145" s="15" t="s">
        <v>769</v>
      </c>
      <c r="M145" s="16">
        <f>0.036*(H145+100)/100*(I145+100)/100*(J145+100)/100</f>
        <v>3.5999999999999997E-2</v>
      </c>
      <c r="N145" s="16">
        <f>F145*M145</f>
        <v>3.5999999999999997E-2</v>
      </c>
      <c r="O145" s="15" t="s">
        <v>1862</v>
      </c>
      <c r="P145" s="15" t="s">
        <v>2024</v>
      </c>
      <c r="Q145" s="1" t="s">
        <v>258</v>
      </c>
      <c r="R145" s="1" t="s">
        <v>770</v>
      </c>
      <c r="S145">
        <v>3.5999999999999997E-2</v>
      </c>
      <c r="T145" s="1" t="s">
        <v>1122</v>
      </c>
      <c r="Y145">
        <f>N145</f>
        <v>3.5999999999999997E-2</v>
      </c>
    </row>
    <row r="146" spans="1:27" ht="30" customHeight="1" x14ac:dyDescent="0.3">
      <c r="A146" s="15" t="s">
        <v>770</v>
      </c>
      <c r="B146" s="15" t="s">
        <v>769</v>
      </c>
      <c r="C146" s="15" t="s">
        <v>751</v>
      </c>
      <c r="D146" s="15" t="s">
        <v>752</v>
      </c>
      <c r="E146" s="15" t="s">
        <v>51</v>
      </c>
      <c r="F146" s="16">
        <f>SUM(Y145:Y145)</f>
        <v>3.5999999999999997E-2</v>
      </c>
      <c r="G146" s="16"/>
      <c r="H146" s="16"/>
      <c r="I146" s="16"/>
      <c r="J146" s="16"/>
      <c r="K146" s="16">
        <f>ROUND(F146*공량설정_일위대가!B90/100, 공량설정_일위대가!C91)</f>
        <v>3.5999999999999997E-2</v>
      </c>
      <c r="L146" s="15" t="s">
        <v>51</v>
      </c>
      <c r="M146" s="16"/>
      <c r="N146" s="16"/>
      <c r="O146" s="16" t="s">
        <v>1862</v>
      </c>
      <c r="P146" s="15" t="s">
        <v>51</v>
      </c>
      <c r="Q146" s="1" t="s">
        <v>258</v>
      </c>
      <c r="R146" s="1" t="s">
        <v>51</v>
      </c>
      <c r="T146" s="1" t="s">
        <v>1125</v>
      </c>
    </row>
    <row r="147" spans="1:27" ht="30" customHeight="1" x14ac:dyDescent="0.3">
      <c r="A147" s="40" t="s">
        <v>2072</v>
      </c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1:27" ht="30" customHeight="1" x14ac:dyDescent="0.3">
      <c r="A148" s="15" t="s">
        <v>1129</v>
      </c>
      <c r="B148" s="15" t="s">
        <v>106</v>
      </c>
      <c r="C148" s="15" t="s">
        <v>1128</v>
      </c>
      <c r="D148" s="15" t="s">
        <v>65</v>
      </c>
      <c r="E148" s="15" t="s">
        <v>2032</v>
      </c>
      <c r="F148" s="16">
        <v>1</v>
      </c>
      <c r="G148" s="16"/>
      <c r="H148" s="16">
        <v>0</v>
      </c>
      <c r="I148" s="16"/>
      <c r="J148" s="16"/>
      <c r="K148" s="16">
        <v>1</v>
      </c>
      <c r="L148" s="15" t="s">
        <v>865</v>
      </c>
      <c r="M148" s="16">
        <f>0.023*(H148+100)/100*(I148+100)/100*(J148+100)/100</f>
        <v>2.3E-2</v>
      </c>
      <c r="N148" s="16">
        <f>F148*M148</f>
        <v>2.3E-2</v>
      </c>
      <c r="O148" s="15" t="s">
        <v>1864</v>
      </c>
      <c r="P148" s="15" t="s">
        <v>2073</v>
      </c>
      <c r="Q148" s="1" t="s">
        <v>262</v>
      </c>
      <c r="R148" s="1" t="s">
        <v>866</v>
      </c>
      <c r="S148">
        <v>2.3E-2</v>
      </c>
      <c r="T148" s="1" t="s">
        <v>1130</v>
      </c>
      <c r="AA148">
        <f>N148</f>
        <v>2.3E-2</v>
      </c>
    </row>
    <row r="149" spans="1:27" ht="30" customHeight="1" x14ac:dyDescent="0.3">
      <c r="A149" s="15" t="s">
        <v>1129</v>
      </c>
      <c r="B149" s="15" t="s">
        <v>106</v>
      </c>
      <c r="C149" s="15" t="s">
        <v>1128</v>
      </c>
      <c r="D149" s="15" t="s">
        <v>65</v>
      </c>
      <c r="E149" s="15" t="s">
        <v>2032</v>
      </c>
      <c r="F149" s="16">
        <v>0</v>
      </c>
      <c r="G149" s="16"/>
      <c r="H149" s="16">
        <v>0</v>
      </c>
      <c r="I149" s="16"/>
      <c r="J149" s="16"/>
      <c r="K149" s="16">
        <v>0.05</v>
      </c>
      <c r="L149" s="15" t="s">
        <v>865</v>
      </c>
      <c r="M149" s="16">
        <f>0.023*(H149+100)/100*(I149+100)/100*(J149+100)/100</f>
        <v>2.3E-2</v>
      </c>
      <c r="N149" s="16">
        <f>F149*M149</f>
        <v>0</v>
      </c>
      <c r="O149" s="15" t="s">
        <v>1864</v>
      </c>
      <c r="P149" s="15" t="s">
        <v>2073</v>
      </c>
      <c r="Q149" s="1" t="s">
        <v>262</v>
      </c>
      <c r="R149" s="1" t="s">
        <v>866</v>
      </c>
      <c r="S149">
        <v>2.3E-2</v>
      </c>
      <c r="T149" s="1" t="s">
        <v>1130</v>
      </c>
      <c r="AA149">
        <f>N149</f>
        <v>0</v>
      </c>
    </row>
    <row r="150" spans="1:27" ht="30" customHeight="1" x14ac:dyDescent="0.3">
      <c r="A150" s="15" t="s">
        <v>866</v>
      </c>
      <c r="B150" s="15" t="s">
        <v>865</v>
      </c>
      <c r="C150" s="15" t="s">
        <v>751</v>
      </c>
      <c r="D150" s="15" t="s">
        <v>752</v>
      </c>
      <c r="E150" s="15" t="s">
        <v>51</v>
      </c>
      <c r="F150" s="16">
        <f>SUM(AA148:AA149)</f>
        <v>2.3E-2</v>
      </c>
      <c r="G150" s="16"/>
      <c r="H150" s="16"/>
      <c r="I150" s="16"/>
      <c r="J150" s="16"/>
      <c r="K150" s="16">
        <f>ROUND(F150*공량설정_일위대가!B92/100, 공량설정_일위대가!C93)</f>
        <v>2.3E-2</v>
      </c>
      <c r="L150" s="15" t="s">
        <v>51</v>
      </c>
      <c r="M150" s="16"/>
      <c r="N150" s="16"/>
      <c r="O150" s="16" t="s">
        <v>1864</v>
      </c>
      <c r="P150" s="15" t="s">
        <v>51</v>
      </c>
      <c r="Q150" s="1" t="s">
        <v>262</v>
      </c>
      <c r="R150" s="1" t="s">
        <v>51</v>
      </c>
      <c r="T150" s="1" t="s">
        <v>1132</v>
      </c>
    </row>
    <row r="151" spans="1:27" ht="30" customHeight="1" x14ac:dyDescent="0.3">
      <c r="A151" s="40" t="s">
        <v>2074</v>
      </c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1:27" ht="30" customHeight="1" x14ac:dyDescent="0.3">
      <c r="A152" s="15" t="s">
        <v>1136</v>
      </c>
      <c r="B152" s="15" t="s">
        <v>106</v>
      </c>
      <c r="C152" s="15" t="s">
        <v>1135</v>
      </c>
      <c r="D152" s="15" t="s">
        <v>65</v>
      </c>
      <c r="E152" s="15" t="s">
        <v>2032</v>
      </c>
      <c r="F152" s="16">
        <v>1</v>
      </c>
      <c r="G152" s="16"/>
      <c r="H152" s="16">
        <v>0</v>
      </c>
      <c r="I152" s="16"/>
      <c r="J152" s="16"/>
      <c r="K152" s="16">
        <v>1</v>
      </c>
      <c r="L152" s="15" t="s">
        <v>865</v>
      </c>
      <c r="M152" s="16">
        <f>0.057*(H152+100)/100*(I152+100)/100*(J152+100)/100</f>
        <v>5.7000000000000002E-2</v>
      </c>
      <c r="N152" s="16">
        <f>F152*M152</f>
        <v>5.7000000000000002E-2</v>
      </c>
      <c r="O152" s="15" t="s">
        <v>1864</v>
      </c>
      <c r="P152" s="15" t="s">
        <v>2075</v>
      </c>
      <c r="Q152" s="1" t="s">
        <v>266</v>
      </c>
      <c r="R152" s="1" t="s">
        <v>866</v>
      </c>
      <c r="S152">
        <v>5.7000000000000002E-2</v>
      </c>
      <c r="T152" s="1" t="s">
        <v>1137</v>
      </c>
      <c r="AA152">
        <f>N152</f>
        <v>5.7000000000000002E-2</v>
      </c>
    </row>
    <row r="153" spans="1:27" ht="30" customHeight="1" x14ac:dyDescent="0.3">
      <c r="A153" s="15" t="s">
        <v>1136</v>
      </c>
      <c r="B153" s="15" t="s">
        <v>106</v>
      </c>
      <c r="C153" s="15" t="s">
        <v>1135</v>
      </c>
      <c r="D153" s="15" t="s">
        <v>65</v>
      </c>
      <c r="E153" s="15" t="s">
        <v>2032</v>
      </c>
      <c r="F153" s="16">
        <v>0</v>
      </c>
      <c r="G153" s="16"/>
      <c r="H153" s="16">
        <v>0</v>
      </c>
      <c r="I153" s="16"/>
      <c r="J153" s="16"/>
      <c r="K153" s="16">
        <v>0.05</v>
      </c>
      <c r="L153" s="15" t="s">
        <v>865</v>
      </c>
      <c r="M153" s="16">
        <f>0.057*(H153+100)/100*(I153+100)/100*(J153+100)/100</f>
        <v>5.7000000000000002E-2</v>
      </c>
      <c r="N153" s="16">
        <f>F153*M153</f>
        <v>0</v>
      </c>
      <c r="O153" s="15" t="s">
        <v>1864</v>
      </c>
      <c r="P153" s="15" t="s">
        <v>2075</v>
      </c>
      <c r="Q153" s="1" t="s">
        <v>266</v>
      </c>
      <c r="R153" s="1" t="s">
        <v>866</v>
      </c>
      <c r="S153">
        <v>5.7000000000000002E-2</v>
      </c>
      <c r="T153" s="1" t="s">
        <v>1137</v>
      </c>
      <c r="AA153">
        <f>N153</f>
        <v>0</v>
      </c>
    </row>
    <row r="154" spans="1:27" ht="30" customHeight="1" x14ac:dyDescent="0.3">
      <c r="A154" s="15" t="s">
        <v>866</v>
      </c>
      <c r="B154" s="15" t="s">
        <v>865</v>
      </c>
      <c r="C154" s="15" t="s">
        <v>751</v>
      </c>
      <c r="D154" s="15" t="s">
        <v>752</v>
      </c>
      <c r="E154" s="15" t="s">
        <v>51</v>
      </c>
      <c r="F154" s="16">
        <f>SUM(AA152:AA153)</f>
        <v>5.7000000000000002E-2</v>
      </c>
      <c r="G154" s="16"/>
      <c r="H154" s="16"/>
      <c r="I154" s="16"/>
      <c r="J154" s="16"/>
      <c r="K154" s="16">
        <f>ROUND(F154*공량설정_일위대가!B94/100, 공량설정_일위대가!C95)</f>
        <v>5.7000000000000002E-2</v>
      </c>
      <c r="L154" s="15" t="s">
        <v>51</v>
      </c>
      <c r="M154" s="16"/>
      <c r="N154" s="16"/>
      <c r="O154" s="16" t="s">
        <v>1864</v>
      </c>
      <c r="P154" s="15" t="s">
        <v>51</v>
      </c>
      <c r="Q154" s="1" t="s">
        <v>266</v>
      </c>
      <c r="R154" s="1" t="s">
        <v>51</v>
      </c>
      <c r="T154" s="1" t="s">
        <v>1140</v>
      </c>
    </row>
    <row r="155" spans="1:27" ht="30" customHeight="1" x14ac:dyDescent="0.3">
      <c r="A155" s="40" t="s">
        <v>2076</v>
      </c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1:27" ht="30" customHeight="1" x14ac:dyDescent="0.3">
      <c r="A156" s="15" t="s">
        <v>1144</v>
      </c>
      <c r="B156" s="15" t="s">
        <v>183</v>
      </c>
      <c r="C156" s="15" t="s">
        <v>1143</v>
      </c>
      <c r="D156" s="15" t="s">
        <v>58</v>
      </c>
      <c r="E156" s="15" t="s">
        <v>2013</v>
      </c>
      <c r="F156" s="16">
        <v>1</v>
      </c>
      <c r="G156" s="16"/>
      <c r="H156" s="16">
        <v>-70</v>
      </c>
      <c r="I156" s="16">
        <v>-50</v>
      </c>
      <c r="J156" s="16"/>
      <c r="K156" s="16">
        <v>1</v>
      </c>
      <c r="L156" s="15" t="s">
        <v>865</v>
      </c>
      <c r="M156" s="16">
        <f>0.36*(H156+100)/100*(I156+100)/100*(J156+100)/100</f>
        <v>5.3999999999999992E-2</v>
      </c>
      <c r="N156" s="16">
        <f>F156*M156</f>
        <v>5.3999999999999992E-2</v>
      </c>
      <c r="O156" s="15" t="s">
        <v>1864</v>
      </c>
      <c r="P156" s="15" t="s">
        <v>2035</v>
      </c>
      <c r="Q156" s="1" t="s">
        <v>270</v>
      </c>
      <c r="R156" s="1" t="s">
        <v>866</v>
      </c>
      <c r="S156">
        <v>0.36</v>
      </c>
      <c r="T156" s="1" t="s">
        <v>1145</v>
      </c>
      <c r="AA156">
        <f>N156</f>
        <v>5.3999999999999992E-2</v>
      </c>
    </row>
    <row r="157" spans="1:27" ht="30" customHeight="1" x14ac:dyDescent="0.3">
      <c r="A157" s="15" t="s">
        <v>866</v>
      </c>
      <c r="B157" s="15" t="s">
        <v>865</v>
      </c>
      <c r="C157" s="15" t="s">
        <v>751</v>
      </c>
      <c r="D157" s="15" t="s">
        <v>752</v>
      </c>
      <c r="E157" s="15" t="s">
        <v>51</v>
      </c>
      <c r="F157" s="16">
        <f>SUM(AA156:AA156)</f>
        <v>5.3999999999999992E-2</v>
      </c>
      <c r="G157" s="16"/>
      <c r="H157" s="16"/>
      <c r="I157" s="16"/>
      <c r="J157" s="16"/>
      <c r="K157" s="16">
        <f>ROUND(F157*공량설정_일위대가!B96/100, 공량설정_일위대가!C97)</f>
        <v>5.3999999999999999E-2</v>
      </c>
      <c r="L157" s="15" t="s">
        <v>51</v>
      </c>
      <c r="M157" s="16"/>
      <c r="N157" s="16"/>
      <c r="O157" s="16" t="s">
        <v>1864</v>
      </c>
      <c r="P157" s="15" t="s">
        <v>51</v>
      </c>
      <c r="Q157" s="1" t="s">
        <v>270</v>
      </c>
      <c r="R157" s="1" t="s">
        <v>51</v>
      </c>
      <c r="T157" s="1" t="s">
        <v>1146</v>
      </c>
    </row>
    <row r="158" spans="1:27" ht="30" customHeight="1" x14ac:dyDescent="0.3">
      <c r="A158" s="40" t="s">
        <v>2077</v>
      </c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1:27" ht="30" customHeight="1" x14ac:dyDescent="0.3">
      <c r="A159" s="15" t="s">
        <v>1150</v>
      </c>
      <c r="B159" s="15" t="s">
        <v>183</v>
      </c>
      <c r="C159" s="15" t="s">
        <v>1149</v>
      </c>
      <c r="D159" s="15" t="s">
        <v>58</v>
      </c>
      <c r="E159" s="15" t="s">
        <v>2013</v>
      </c>
      <c r="F159" s="16">
        <v>1</v>
      </c>
      <c r="G159" s="16"/>
      <c r="H159" s="16">
        <v>-70</v>
      </c>
      <c r="I159" s="16">
        <v>-50</v>
      </c>
      <c r="J159" s="16"/>
      <c r="K159" s="16">
        <v>1</v>
      </c>
      <c r="L159" s="15" t="s">
        <v>865</v>
      </c>
      <c r="M159" s="16">
        <f>0.47*(H159+100)/100*(I159+100)/100*(J159+100)/100</f>
        <v>7.0499999999999993E-2</v>
      </c>
      <c r="N159" s="16">
        <f>F159*M159</f>
        <v>7.0499999999999993E-2</v>
      </c>
      <c r="O159" s="15" t="s">
        <v>1864</v>
      </c>
      <c r="P159" s="15" t="s">
        <v>2078</v>
      </c>
      <c r="Q159" s="1" t="s">
        <v>274</v>
      </c>
      <c r="R159" s="1" t="s">
        <v>866</v>
      </c>
      <c r="S159">
        <v>0.47</v>
      </c>
      <c r="T159" s="1" t="s">
        <v>1151</v>
      </c>
      <c r="AA159">
        <f>N159</f>
        <v>7.0499999999999993E-2</v>
      </c>
    </row>
    <row r="160" spans="1:27" ht="30" customHeight="1" x14ac:dyDescent="0.3">
      <c r="A160" s="15" t="s">
        <v>866</v>
      </c>
      <c r="B160" s="15" t="s">
        <v>865</v>
      </c>
      <c r="C160" s="15" t="s">
        <v>751</v>
      </c>
      <c r="D160" s="15" t="s">
        <v>752</v>
      </c>
      <c r="E160" s="15" t="s">
        <v>51</v>
      </c>
      <c r="F160" s="16">
        <f>SUM(AA159:AA159)</f>
        <v>7.0499999999999993E-2</v>
      </c>
      <c r="G160" s="16"/>
      <c r="H160" s="16"/>
      <c r="I160" s="16"/>
      <c r="J160" s="16"/>
      <c r="K160" s="16">
        <f>ROUND(F160*공량설정_일위대가!B98/100, 공량설정_일위대가!C99)</f>
        <v>7.0499999999999993E-2</v>
      </c>
      <c r="L160" s="15" t="s">
        <v>51</v>
      </c>
      <c r="M160" s="16"/>
      <c r="N160" s="16"/>
      <c r="O160" s="16" t="s">
        <v>1864</v>
      </c>
      <c r="P160" s="15" t="s">
        <v>51</v>
      </c>
      <c r="Q160" s="1" t="s">
        <v>274</v>
      </c>
      <c r="R160" s="1" t="s">
        <v>51</v>
      </c>
      <c r="T160" s="1" t="s">
        <v>1152</v>
      </c>
    </row>
    <row r="161" spans="1:25" ht="30" customHeight="1" x14ac:dyDescent="0.3">
      <c r="A161" s="40" t="s">
        <v>2079</v>
      </c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1:25" ht="30" customHeight="1" x14ac:dyDescent="0.3">
      <c r="A162" s="15" t="s">
        <v>1157</v>
      </c>
      <c r="B162" s="15" t="s">
        <v>1155</v>
      </c>
      <c r="C162" s="15" t="s">
        <v>1156</v>
      </c>
      <c r="D162" s="15" t="s">
        <v>65</v>
      </c>
      <c r="E162" s="15" t="s">
        <v>2018</v>
      </c>
      <c r="F162" s="16">
        <v>1</v>
      </c>
      <c r="G162" s="16">
        <v>0</v>
      </c>
      <c r="H162" s="16">
        <v>-20</v>
      </c>
      <c r="I162" s="16">
        <v>-10</v>
      </c>
      <c r="J162" s="16"/>
      <c r="K162" s="16">
        <v>1</v>
      </c>
      <c r="L162" s="15" t="s">
        <v>769</v>
      </c>
      <c r="M162" s="16">
        <f>0.05*(H162+100)/100*(I162+100)/100*(J162+100)/100</f>
        <v>3.6000000000000004E-2</v>
      </c>
      <c r="N162" s="16">
        <f>F162*M162</f>
        <v>3.6000000000000004E-2</v>
      </c>
      <c r="O162" s="15" t="s">
        <v>1862</v>
      </c>
      <c r="P162" s="15" t="s">
        <v>2080</v>
      </c>
      <c r="Q162" s="1" t="s">
        <v>287</v>
      </c>
      <c r="R162" s="1" t="s">
        <v>770</v>
      </c>
      <c r="S162">
        <v>0.05</v>
      </c>
      <c r="T162" s="1" t="s">
        <v>1158</v>
      </c>
      <c r="Y162">
        <f>N162</f>
        <v>3.6000000000000004E-2</v>
      </c>
    </row>
    <row r="163" spans="1:25" ht="30" customHeight="1" x14ac:dyDescent="0.3">
      <c r="A163" s="15" t="s">
        <v>1157</v>
      </c>
      <c r="B163" s="15" t="s">
        <v>1155</v>
      </c>
      <c r="C163" s="15" t="s">
        <v>1156</v>
      </c>
      <c r="D163" s="15" t="s">
        <v>65</v>
      </c>
      <c r="E163" s="15" t="s">
        <v>2018</v>
      </c>
      <c r="F163" s="16">
        <v>0</v>
      </c>
      <c r="G163" s="16"/>
      <c r="H163" s="16">
        <v>0</v>
      </c>
      <c r="I163" s="16"/>
      <c r="J163" s="16"/>
      <c r="K163" s="16">
        <v>0.1</v>
      </c>
      <c r="L163" s="15" t="s">
        <v>769</v>
      </c>
      <c r="M163" s="16">
        <f>0.05*(H163+100)/100*(I163+100)/100*(J163+100)/100</f>
        <v>0.05</v>
      </c>
      <c r="N163" s="16">
        <f>F163*M163</f>
        <v>0</v>
      </c>
      <c r="O163" s="15" t="s">
        <v>1862</v>
      </c>
      <c r="P163" s="15" t="s">
        <v>2081</v>
      </c>
      <c r="Q163" s="1" t="s">
        <v>287</v>
      </c>
      <c r="R163" s="1" t="s">
        <v>770</v>
      </c>
      <c r="S163">
        <v>0.05</v>
      </c>
      <c r="T163" s="1" t="s">
        <v>1158</v>
      </c>
      <c r="Y163">
        <f>N163</f>
        <v>0</v>
      </c>
    </row>
    <row r="164" spans="1:25" ht="30" customHeight="1" x14ac:dyDescent="0.3">
      <c r="A164" s="15" t="s">
        <v>770</v>
      </c>
      <c r="B164" s="15" t="s">
        <v>769</v>
      </c>
      <c r="C164" s="15" t="s">
        <v>751</v>
      </c>
      <c r="D164" s="15" t="s">
        <v>752</v>
      </c>
      <c r="E164" s="15" t="s">
        <v>51</v>
      </c>
      <c r="F164" s="16">
        <f>SUM(Y162:Y163)</f>
        <v>3.6000000000000004E-2</v>
      </c>
      <c r="G164" s="16"/>
      <c r="H164" s="16"/>
      <c r="I164" s="16"/>
      <c r="J164" s="16"/>
      <c r="K164" s="16">
        <f>ROUND(F164*공량설정_일위대가!B100/100, 공량설정_일위대가!C101)</f>
        <v>3.5999999999999997E-2</v>
      </c>
      <c r="L164" s="15" t="s">
        <v>51</v>
      </c>
      <c r="M164" s="16"/>
      <c r="N164" s="16"/>
      <c r="O164" s="16" t="s">
        <v>1862</v>
      </c>
      <c r="P164" s="15" t="s">
        <v>51</v>
      </c>
      <c r="Q164" s="1" t="s">
        <v>287</v>
      </c>
      <c r="R164" s="1" t="s">
        <v>51</v>
      </c>
      <c r="T164" s="1" t="s">
        <v>1162</v>
      </c>
    </row>
    <row r="165" spans="1:25" ht="30" customHeight="1" x14ac:dyDescent="0.3">
      <c r="A165" s="40" t="s">
        <v>2082</v>
      </c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1:25" ht="30" customHeight="1" x14ac:dyDescent="0.3">
      <c r="A166" s="15" t="s">
        <v>1166</v>
      </c>
      <c r="B166" s="15" t="s">
        <v>289</v>
      </c>
      <c r="C166" s="15" t="s">
        <v>1165</v>
      </c>
      <c r="D166" s="15" t="s">
        <v>58</v>
      </c>
      <c r="E166" s="15" t="s">
        <v>2083</v>
      </c>
      <c r="F166" s="16">
        <v>1</v>
      </c>
      <c r="G166" s="16"/>
      <c r="H166" s="16">
        <v>-10</v>
      </c>
      <c r="I166" s="16"/>
      <c r="J166" s="16"/>
      <c r="K166" s="16">
        <v>1</v>
      </c>
      <c r="L166" s="15" t="s">
        <v>769</v>
      </c>
      <c r="M166" s="16">
        <f>0.12*(H166+100)/100*(I166+100)/100*(J166+100)/100</f>
        <v>0.10799999999999998</v>
      </c>
      <c r="N166" s="16">
        <f>F166*M166</f>
        <v>0.10799999999999998</v>
      </c>
      <c r="O166" s="15" t="s">
        <v>1862</v>
      </c>
      <c r="P166" s="15" t="s">
        <v>2084</v>
      </c>
      <c r="Q166" s="1" t="s">
        <v>292</v>
      </c>
      <c r="R166" s="1" t="s">
        <v>770</v>
      </c>
      <c r="S166">
        <v>0.12</v>
      </c>
      <c r="T166" s="1" t="s">
        <v>1167</v>
      </c>
      <c r="Y166">
        <f>N166</f>
        <v>0.10799999999999998</v>
      </c>
    </row>
    <row r="167" spans="1:25" ht="30" customHeight="1" x14ac:dyDescent="0.3">
      <c r="A167" s="15" t="s">
        <v>770</v>
      </c>
      <c r="B167" s="15" t="s">
        <v>769</v>
      </c>
      <c r="C167" s="15" t="s">
        <v>751</v>
      </c>
      <c r="D167" s="15" t="s">
        <v>752</v>
      </c>
      <c r="E167" s="15" t="s">
        <v>51</v>
      </c>
      <c r="F167" s="16">
        <f>SUM(Y166:Y166)</f>
        <v>0.10799999999999998</v>
      </c>
      <c r="G167" s="16"/>
      <c r="H167" s="16"/>
      <c r="I167" s="16"/>
      <c r="J167" s="16"/>
      <c r="K167" s="16">
        <f>ROUND(F167*공량설정_일위대가!B102/100, 공량설정_일위대가!C103)</f>
        <v>0.108</v>
      </c>
      <c r="L167" s="15" t="s">
        <v>51</v>
      </c>
      <c r="M167" s="16"/>
      <c r="N167" s="16"/>
      <c r="O167" s="16" t="s">
        <v>1862</v>
      </c>
      <c r="P167" s="15" t="s">
        <v>51</v>
      </c>
      <c r="Q167" s="1" t="s">
        <v>292</v>
      </c>
      <c r="R167" s="1" t="s">
        <v>51</v>
      </c>
      <c r="T167" s="1" t="s">
        <v>1168</v>
      </c>
    </row>
    <row r="168" spans="1:25" ht="30" customHeight="1" x14ac:dyDescent="0.3">
      <c r="A168" s="40" t="s">
        <v>2085</v>
      </c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1:25" ht="30" customHeight="1" x14ac:dyDescent="0.3">
      <c r="A169" s="15" t="s">
        <v>1173</v>
      </c>
      <c r="B169" s="15" t="s">
        <v>1171</v>
      </c>
      <c r="C169" s="15" t="s">
        <v>1172</v>
      </c>
      <c r="D169" s="15" t="s">
        <v>58</v>
      </c>
      <c r="E169" s="15" t="s">
        <v>2083</v>
      </c>
      <c r="F169" s="16">
        <v>1</v>
      </c>
      <c r="G169" s="16">
        <v>0</v>
      </c>
      <c r="H169" s="16">
        <v>-10</v>
      </c>
      <c r="I169" s="16"/>
      <c r="J169" s="16"/>
      <c r="K169" s="16">
        <v>1</v>
      </c>
      <c r="L169" s="15" t="s">
        <v>769</v>
      </c>
      <c r="M169" s="16">
        <f>0.12*(H169+100)/100*(I169+100)/100*(J169+100)/100</f>
        <v>0.10799999999999998</v>
      </c>
      <c r="N169" s="16">
        <f>F169*M169</f>
        <v>0.10799999999999998</v>
      </c>
      <c r="O169" s="15" t="s">
        <v>1862</v>
      </c>
      <c r="P169" s="15" t="s">
        <v>2084</v>
      </c>
      <c r="Q169" s="1" t="s">
        <v>297</v>
      </c>
      <c r="R169" s="1" t="s">
        <v>770</v>
      </c>
      <c r="S169">
        <v>0.12</v>
      </c>
      <c r="T169" s="1" t="s">
        <v>1174</v>
      </c>
      <c r="Y169">
        <f>N169</f>
        <v>0.10799999999999998</v>
      </c>
    </row>
    <row r="170" spans="1:25" ht="30" customHeight="1" x14ac:dyDescent="0.3">
      <c r="A170" s="15" t="s">
        <v>770</v>
      </c>
      <c r="B170" s="15" t="s">
        <v>769</v>
      </c>
      <c r="C170" s="15" t="s">
        <v>751</v>
      </c>
      <c r="D170" s="15" t="s">
        <v>752</v>
      </c>
      <c r="E170" s="15" t="s">
        <v>51</v>
      </c>
      <c r="F170" s="16">
        <f>SUM(Y169:Y169)</f>
        <v>0.10799999999999998</v>
      </c>
      <c r="G170" s="16"/>
      <c r="H170" s="16"/>
      <c r="I170" s="16"/>
      <c r="J170" s="16"/>
      <c r="K170" s="16">
        <f>ROUND(F170*공량설정_일위대가!B104/100, 공량설정_일위대가!C105)</f>
        <v>0.108</v>
      </c>
      <c r="L170" s="15" t="s">
        <v>51</v>
      </c>
      <c r="M170" s="16"/>
      <c r="N170" s="16"/>
      <c r="O170" s="16" t="s">
        <v>1862</v>
      </c>
      <c r="P170" s="15" t="s">
        <v>51</v>
      </c>
      <c r="Q170" s="1" t="s">
        <v>297</v>
      </c>
      <c r="R170" s="1" t="s">
        <v>51</v>
      </c>
      <c r="T170" s="1" t="s">
        <v>1175</v>
      </c>
    </row>
    <row r="171" spans="1:25" ht="30" customHeight="1" x14ac:dyDescent="0.3">
      <c r="A171" s="40" t="s">
        <v>2086</v>
      </c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1:25" ht="30" customHeight="1" x14ac:dyDescent="0.3">
      <c r="A172" s="15" t="s">
        <v>1180</v>
      </c>
      <c r="B172" s="15" t="s">
        <v>1178</v>
      </c>
      <c r="C172" s="15" t="s">
        <v>1179</v>
      </c>
      <c r="D172" s="15" t="s">
        <v>65</v>
      </c>
      <c r="E172" s="15" t="s">
        <v>2049</v>
      </c>
      <c r="F172" s="16">
        <v>1</v>
      </c>
      <c r="G172" s="16">
        <v>0</v>
      </c>
      <c r="H172" s="16">
        <v>-13</v>
      </c>
      <c r="I172" s="16"/>
      <c r="J172" s="16"/>
      <c r="K172" s="16">
        <v>1</v>
      </c>
      <c r="L172" s="15" t="s">
        <v>769</v>
      </c>
      <c r="M172" s="16">
        <f>0.01*(H172+100)/100*(I172+100)/100*(J172+100)/100</f>
        <v>8.6999999999999994E-3</v>
      </c>
      <c r="N172" s="16">
        <f>F172*M172</f>
        <v>8.6999999999999994E-3</v>
      </c>
      <c r="O172" s="15" t="s">
        <v>1862</v>
      </c>
      <c r="P172" s="15" t="s">
        <v>2087</v>
      </c>
      <c r="Q172" s="1" t="s">
        <v>302</v>
      </c>
      <c r="R172" s="1" t="s">
        <v>770</v>
      </c>
      <c r="S172">
        <v>0.01</v>
      </c>
      <c r="T172" s="1" t="s">
        <v>1181</v>
      </c>
      <c r="Y172">
        <f>N172</f>
        <v>8.6999999999999994E-3</v>
      </c>
    </row>
    <row r="173" spans="1:25" ht="30" customHeight="1" x14ac:dyDescent="0.3">
      <c r="A173" s="15" t="s">
        <v>1180</v>
      </c>
      <c r="B173" s="15" t="s">
        <v>1178</v>
      </c>
      <c r="C173" s="15" t="s">
        <v>1179</v>
      </c>
      <c r="D173" s="15" t="s">
        <v>65</v>
      </c>
      <c r="E173" s="15" t="s">
        <v>2049</v>
      </c>
      <c r="F173" s="16">
        <v>0</v>
      </c>
      <c r="G173" s="16">
        <v>0</v>
      </c>
      <c r="H173" s="16"/>
      <c r="I173" s="16"/>
      <c r="J173" s="16"/>
      <c r="K173" s="16">
        <v>0.1</v>
      </c>
      <c r="L173" s="15" t="s">
        <v>769</v>
      </c>
      <c r="M173" s="16">
        <f>0.01*(H173+100)/100*(I173+100)/100*(J173+100)/100</f>
        <v>0.01</v>
      </c>
      <c r="N173" s="16">
        <f>F173*M173</f>
        <v>0</v>
      </c>
      <c r="O173" s="15" t="s">
        <v>1862</v>
      </c>
      <c r="P173" s="15" t="s">
        <v>2088</v>
      </c>
      <c r="Q173" s="1" t="s">
        <v>302</v>
      </c>
      <c r="R173" s="1" t="s">
        <v>770</v>
      </c>
      <c r="S173">
        <v>0.01</v>
      </c>
      <c r="T173" s="1" t="s">
        <v>1181</v>
      </c>
      <c r="Y173">
        <f>N173</f>
        <v>0</v>
      </c>
    </row>
    <row r="174" spans="1:25" ht="30" customHeight="1" x14ac:dyDescent="0.3">
      <c r="A174" s="15" t="s">
        <v>770</v>
      </c>
      <c r="B174" s="15" t="s">
        <v>769</v>
      </c>
      <c r="C174" s="15" t="s">
        <v>751</v>
      </c>
      <c r="D174" s="15" t="s">
        <v>752</v>
      </c>
      <c r="E174" s="15" t="s">
        <v>51</v>
      </c>
      <c r="F174" s="16">
        <f>SUM(Y172:Y173)</f>
        <v>8.6999999999999994E-3</v>
      </c>
      <c r="G174" s="16"/>
      <c r="H174" s="16"/>
      <c r="I174" s="16"/>
      <c r="J174" s="16"/>
      <c r="K174" s="16">
        <f>ROUND(F174*공량설정_일위대가!B106/100, 공량설정_일위대가!C107)</f>
        <v>8.6999999999999994E-3</v>
      </c>
      <c r="L174" s="15" t="s">
        <v>51</v>
      </c>
      <c r="M174" s="16"/>
      <c r="N174" s="16"/>
      <c r="O174" s="16" t="s">
        <v>1862</v>
      </c>
      <c r="P174" s="15" t="s">
        <v>51</v>
      </c>
      <c r="Q174" s="1" t="s">
        <v>302</v>
      </c>
      <c r="R174" s="1" t="s">
        <v>51</v>
      </c>
      <c r="T174" s="1" t="s">
        <v>1183</v>
      </c>
    </row>
    <row r="175" spans="1:25" ht="30" customHeight="1" x14ac:dyDescent="0.3">
      <c r="A175" s="40" t="s">
        <v>2089</v>
      </c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1:25" ht="30" customHeight="1" x14ac:dyDescent="0.3">
      <c r="A176" s="15" t="s">
        <v>1180</v>
      </c>
      <c r="B176" s="15" t="s">
        <v>1178</v>
      </c>
      <c r="C176" s="15" t="s">
        <v>1179</v>
      </c>
      <c r="D176" s="15" t="s">
        <v>65</v>
      </c>
      <c r="E176" s="15" t="s">
        <v>2049</v>
      </c>
      <c r="F176" s="16">
        <v>1</v>
      </c>
      <c r="G176" s="16">
        <v>0</v>
      </c>
      <c r="H176" s="16">
        <v>-20</v>
      </c>
      <c r="I176" s="16">
        <v>-13</v>
      </c>
      <c r="J176" s="16"/>
      <c r="K176" s="16">
        <v>1</v>
      </c>
      <c r="L176" s="15" t="s">
        <v>769</v>
      </c>
      <c r="M176" s="16">
        <f>0.01*(H176+100)/100*(I176+100)/100*(J176+100)/100</f>
        <v>6.9600000000000009E-3</v>
      </c>
      <c r="N176" s="16">
        <f>F176*M176</f>
        <v>6.9600000000000009E-3</v>
      </c>
      <c r="O176" s="15" t="s">
        <v>1862</v>
      </c>
      <c r="P176" s="15" t="s">
        <v>2090</v>
      </c>
      <c r="Q176" s="1" t="s">
        <v>306</v>
      </c>
      <c r="R176" s="1" t="s">
        <v>770</v>
      </c>
      <c r="S176">
        <v>0.01</v>
      </c>
      <c r="T176" s="1" t="s">
        <v>1186</v>
      </c>
      <c r="Y176">
        <f>N176</f>
        <v>6.9600000000000009E-3</v>
      </c>
    </row>
    <row r="177" spans="1:25" ht="30" customHeight="1" x14ac:dyDescent="0.3">
      <c r="A177" s="15" t="s">
        <v>1180</v>
      </c>
      <c r="B177" s="15" t="s">
        <v>1178</v>
      </c>
      <c r="C177" s="15" t="s">
        <v>1179</v>
      </c>
      <c r="D177" s="15" t="s">
        <v>65</v>
      </c>
      <c r="E177" s="15" t="s">
        <v>2049</v>
      </c>
      <c r="F177" s="16">
        <v>0</v>
      </c>
      <c r="G177" s="16">
        <v>0</v>
      </c>
      <c r="H177" s="16"/>
      <c r="I177" s="16"/>
      <c r="J177" s="16"/>
      <c r="K177" s="16">
        <v>0.1</v>
      </c>
      <c r="L177" s="15" t="s">
        <v>769</v>
      </c>
      <c r="M177" s="16">
        <f>0.01*(H177+100)/100*(I177+100)/100*(J177+100)/100</f>
        <v>0.01</v>
      </c>
      <c r="N177" s="16">
        <f>F177*M177</f>
        <v>0</v>
      </c>
      <c r="O177" s="15" t="s">
        <v>1862</v>
      </c>
      <c r="P177" s="15" t="s">
        <v>2088</v>
      </c>
      <c r="Q177" s="1" t="s">
        <v>306</v>
      </c>
      <c r="R177" s="1" t="s">
        <v>770</v>
      </c>
      <c r="S177">
        <v>0.01</v>
      </c>
      <c r="T177" s="1" t="s">
        <v>1186</v>
      </c>
      <c r="Y177">
        <f>N177</f>
        <v>0</v>
      </c>
    </row>
    <row r="178" spans="1:25" ht="30" customHeight="1" x14ac:dyDescent="0.3">
      <c r="A178" s="15" t="s">
        <v>770</v>
      </c>
      <c r="B178" s="15" t="s">
        <v>769</v>
      </c>
      <c r="C178" s="15" t="s">
        <v>751</v>
      </c>
      <c r="D178" s="15" t="s">
        <v>752</v>
      </c>
      <c r="E178" s="15" t="s">
        <v>51</v>
      </c>
      <c r="F178" s="16">
        <f>SUM(Y176:Y177)</f>
        <v>6.9600000000000009E-3</v>
      </c>
      <c r="G178" s="16"/>
      <c r="H178" s="16"/>
      <c r="I178" s="16"/>
      <c r="J178" s="16"/>
      <c r="K178" s="16">
        <f>ROUND(F178*공량설정_일위대가!B108/100, 공량설정_일위대가!C109)</f>
        <v>7.0000000000000001E-3</v>
      </c>
      <c r="L178" s="15" t="s">
        <v>51</v>
      </c>
      <c r="M178" s="16"/>
      <c r="N178" s="16"/>
      <c r="O178" s="16" t="s">
        <v>1862</v>
      </c>
      <c r="P178" s="15" t="s">
        <v>51</v>
      </c>
      <c r="Q178" s="1" t="s">
        <v>306</v>
      </c>
      <c r="R178" s="1" t="s">
        <v>51</v>
      </c>
      <c r="T178" s="1" t="s">
        <v>1188</v>
      </c>
    </row>
    <row r="179" spans="1:25" ht="30" customHeight="1" x14ac:dyDescent="0.3">
      <c r="A179" s="40" t="s">
        <v>2091</v>
      </c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1:25" ht="30" customHeight="1" x14ac:dyDescent="0.3">
      <c r="A180" s="15" t="s">
        <v>1192</v>
      </c>
      <c r="B180" s="15" t="s">
        <v>308</v>
      </c>
      <c r="C180" s="15" t="s">
        <v>1191</v>
      </c>
      <c r="D180" s="15" t="s">
        <v>58</v>
      </c>
      <c r="E180" s="15" t="s">
        <v>2092</v>
      </c>
      <c r="F180" s="16">
        <v>1</v>
      </c>
      <c r="G180" s="16"/>
      <c r="H180" s="16">
        <v>0</v>
      </c>
      <c r="I180" s="16"/>
      <c r="J180" s="16"/>
      <c r="K180" s="16">
        <v>1</v>
      </c>
      <c r="L180" s="15" t="s">
        <v>769</v>
      </c>
      <c r="M180" s="16">
        <f>0.065*(H180+100)/100*(I180+100)/100*(J180+100)/100</f>
        <v>6.5000000000000002E-2</v>
      </c>
      <c r="N180" s="16">
        <f>F180*M180</f>
        <v>6.5000000000000002E-2</v>
      </c>
      <c r="O180" s="15" t="s">
        <v>1862</v>
      </c>
      <c r="P180" s="15" t="s">
        <v>2093</v>
      </c>
      <c r="Q180" s="1" t="s">
        <v>311</v>
      </c>
      <c r="R180" s="1" t="s">
        <v>770</v>
      </c>
      <c r="S180">
        <v>6.5000000000000002E-2</v>
      </c>
      <c r="T180" s="1" t="s">
        <v>1193</v>
      </c>
      <c r="Y180">
        <f>N180</f>
        <v>6.5000000000000002E-2</v>
      </c>
    </row>
    <row r="181" spans="1:25" ht="30" customHeight="1" x14ac:dyDescent="0.3">
      <c r="A181" s="15" t="s">
        <v>770</v>
      </c>
      <c r="B181" s="15" t="s">
        <v>769</v>
      </c>
      <c r="C181" s="15" t="s">
        <v>751</v>
      </c>
      <c r="D181" s="15" t="s">
        <v>752</v>
      </c>
      <c r="E181" s="15" t="s">
        <v>51</v>
      </c>
      <c r="F181" s="16">
        <f>SUM(Y180:Y180)</f>
        <v>6.5000000000000002E-2</v>
      </c>
      <c r="G181" s="16"/>
      <c r="H181" s="16"/>
      <c r="I181" s="16"/>
      <c r="J181" s="16"/>
      <c r="K181" s="16">
        <f>ROUND(F181*공량설정_일위대가!B110/100, 공량설정_일위대가!C111)</f>
        <v>6.5000000000000002E-2</v>
      </c>
      <c r="L181" s="15" t="s">
        <v>51</v>
      </c>
      <c r="M181" s="16"/>
      <c r="N181" s="16"/>
      <c r="O181" s="16" t="s">
        <v>1862</v>
      </c>
      <c r="P181" s="15" t="s">
        <v>51</v>
      </c>
      <c r="Q181" s="1" t="s">
        <v>311</v>
      </c>
      <c r="R181" s="1" t="s">
        <v>51</v>
      </c>
      <c r="T181" s="1" t="s">
        <v>1194</v>
      </c>
    </row>
    <row r="182" spans="1:25" ht="30" customHeight="1" x14ac:dyDescent="0.3">
      <c r="A182" s="40" t="s">
        <v>2094</v>
      </c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1:25" ht="30" customHeight="1" x14ac:dyDescent="0.3">
      <c r="A183" s="15" t="s">
        <v>1198</v>
      </c>
      <c r="B183" s="15" t="s">
        <v>308</v>
      </c>
      <c r="C183" s="15" t="s">
        <v>1197</v>
      </c>
      <c r="D183" s="15" t="s">
        <v>58</v>
      </c>
      <c r="E183" s="15" t="s">
        <v>2092</v>
      </c>
      <c r="F183" s="16">
        <v>1</v>
      </c>
      <c r="G183" s="16"/>
      <c r="H183" s="16">
        <v>0</v>
      </c>
      <c r="I183" s="16"/>
      <c r="J183" s="16"/>
      <c r="K183" s="16">
        <v>1</v>
      </c>
      <c r="L183" s="15" t="s">
        <v>769</v>
      </c>
      <c r="M183" s="16">
        <f>0.065*(H183+100)/100*(I183+100)/100*(J183+100)/100</f>
        <v>6.5000000000000002E-2</v>
      </c>
      <c r="N183" s="16">
        <f>F183*M183</f>
        <v>6.5000000000000002E-2</v>
      </c>
      <c r="O183" s="15" t="s">
        <v>1862</v>
      </c>
      <c r="P183" s="15" t="s">
        <v>2093</v>
      </c>
      <c r="Q183" s="1" t="s">
        <v>315</v>
      </c>
      <c r="R183" s="1" t="s">
        <v>770</v>
      </c>
      <c r="S183">
        <v>6.5000000000000002E-2</v>
      </c>
      <c r="T183" s="1" t="s">
        <v>1199</v>
      </c>
      <c r="Y183">
        <f>N183</f>
        <v>6.5000000000000002E-2</v>
      </c>
    </row>
    <row r="184" spans="1:25" ht="30" customHeight="1" x14ac:dyDescent="0.3">
      <c r="A184" s="15" t="s">
        <v>770</v>
      </c>
      <c r="B184" s="15" t="s">
        <v>769</v>
      </c>
      <c r="C184" s="15" t="s">
        <v>751</v>
      </c>
      <c r="D184" s="15" t="s">
        <v>752</v>
      </c>
      <c r="E184" s="15" t="s">
        <v>51</v>
      </c>
      <c r="F184" s="16">
        <f>SUM(Y183:Y183)</f>
        <v>6.5000000000000002E-2</v>
      </c>
      <c r="G184" s="16"/>
      <c r="H184" s="16"/>
      <c r="I184" s="16"/>
      <c r="J184" s="16"/>
      <c r="K184" s="16">
        <f>ROUND(F184*공량설정_일위대가!B112/100, 공량설정_일위대가!C113)</f>
        <v>6.5000000000000002E-2</v>
      </c>
      <c r="L184" s="15" t="s">
        <v>51</v>
      </c>
      <c r="M184" s="16"/>
      <c r="N184" s="16"/>
      <c r="O184" s="16" t="s">
        <v>1862</v>
      </c>
      <c r="P184" s="15" t="s">
        <v>51</v>
      </c>
      <c r="Q184" s="1" t="s">
        <v>315</v>
      </c>
      <c r="R184" s="1" t="s">
        <v>51</v>
      </c>
      <c r="T184" s="1" t="s">
        <v>1200</v>
      </c>
    </row>
    <row r="185" spans="1:25" ht="30" customHeight="1" x14ac:dyDescent="0.3">
      <c r="A185" s="40" t="s">
        <v>2095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1:25" ht="30" customHeight="1" x14ac:dyDescent="0.3">
      <c r="A186" s="15" t="s">
        <v>1205</v>
      </c>
      <c r="B186" s="15" t="s">
        <v>1203</v>
      </c>
      <c r="C186" s="15" t="s">
        <v>1204</v>
      </c>
      <c r="D186" s="15" t="s">
        <v>58</v>
      </c>
      <c r="E186" s="15" t="s">
        <v>2092</v>
      </c>
      <c r="F186" s="16">
        <v>1</v>
      </c>
      <c r="G186" s="16">
        <v>0</v>
      </c>
      <c r="H186" s="16"/>
      <c r="I186" s="16"/>
      <c r="J186" s="16"/>
      <c r="K186" s="16">
        <v>1</v>
      </c>
      <c r="L186" s="15" t="s">
        <v>769</v>
      </c>
      <c r="M186" s="16">
        <f>0.065*(H186+100)/100*(I186+100)/100*(J186+100)/100</f>
        <v>6.5000000000000002E-2</v>
      </c>
      <c r="N186" s="16">
        <f>F186*M186</f>
        <v>6.5000000000000002E-2</v>
      </c>
      <c r="O186" s="15" t="s">
        <v>1862</v>
      </c>
      <c r="P186" s="15" t="s">
        <v>2093</v>
      </c>
      <c r="Q186" s="1" t="s">
        <v>319</v>
      </c>
      <c r="R186" s="1" t="s">
        <v>770</v>
      </c>
      <c r="S186">
        <v>6.5000000000000002E-2</v>
      </c>
      <c r="T186" s="1" t="s">
        <v>1206</v>
      </c>
      <c r="Y186">
        <f>N186</f>
        <v>6.5000000000000002E-2</v>
      </c>
    </row>
    <row r="187" spans="1:25" ht="30" customHeight="1" x14ac:dyDescent="0.3">
      <c r="A187" s="15" t="s">
        <v>770</v>
      </c>
      <c r="B187" s="15" t="s">
        <v>769</v>
      </c>
      <c r="C187" s="15" t="s">
        <v>751</v>
      </c>
      <c r="D187" s="15" t="s">
        <v>752</v>
      </c>
      <c r="E187" s="15" t="s">
        <v>51</v>
      </c>
      <c r="F187" s="16">
        <f>SUM(Y186:Y186)</f>
        <v>6.5000000000000002E-2</v>
      </c>
      <c r="G187" s="16"/>
      <c r="H187" s="16"/>
      <c r="I187" s="16"/>
      <c r="J187" s="16"/>
      <c r="K187" s="16">
        <f>ROUND(F187*공량설정_일위대가!B114/100, 공량설정_일위대가!C115)</f>
        <v>6.5000000000000002E-2</v>
      </c>
      <c r="L187" s="15" t="s">
        <v>51</v>
      </c>
      <c r="M187" s="16"/>
      <c r="N187" s="16"/>
      <c r="O187" s="16" t="s">
        <v>1862</v>
      </c>
      <c r="P187" s="15" t="s">
        <v>51</v>
      </c>
      <c r="Q187" s="1" t="s">
        <v>319</v>
      </c>
      <c r="R187" s="1" t="s">
        <v>51</v>
      </c>
      <c r="T187" s="1" t="s">
        <v>1207</v>
      </c>
    </row>
    <row r="188" spans="1:25" ht="30" customHeight="1" x14ac:dyDescent="0.3">
      <c r="A188" s="40" t="s">
        <v>2096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1:25" ht="30" customHeight="1" x14ac:dyDescent="0.3">
      <c r="A189" s="15" t="s">
        <v>1211</v>
      </c>
      <c r="B189" s="15" t="s">
        <v>160</v>
      </c>
      <c r="C189" s="15" t="s">
        <v>1210</v>
      </c>
      <c r="D189" s="15" t="s">
        <v>58</v>
      </c>
      <c r="E189" s="15" t="s">
        <v>2027</v>
      </c>
      <c r="F189" s="16">
        <v>1</v>
      </c>
      <c r="G189" s="16"/>
      <c r="H189" s="16">
        <v>0</v>
      </c>
      <c r="I189" s="16"/>
      <c r="J189" s="16"/>
      <c r="K189" s="16">
        <v>1</v>
      </c>
      <c r="L189" s="15" t="s">
        <v>769</v>
      </c>
      <c r="M189" s="16">
        <f>0.04*(H189+100)/100*(I189+100)/100*(J189+100)/100</f>
        <v>0.04</v>
      </c>
      <c r="N189" s="16">
        <f>F189*M189</f>
        <v>0.04</v>
      </c>
      <c r="O189" s="15" t="s">
        <v>1862</v>
      </c>
      <c r="P189" s="15" t="s">
        <v>2097</v>
      </c>
      <c r="Q189" s="1" t="s">
        <v>327</v>
      </c>
      <c r="R189" s="1" t="s">
        <v>770</v>
      </c>
      <c r="S189">
        <v>0.04</v>
      </c>
      <c r="T189" s="1" t="s">
        <v>1212</v>
      </c>
      <c r="Y189">
        <f>N189</f>
        <v>0.04</v>
      </c>
    </row>
    <row r="190" spans="1:25" ht="30" customHeight="1" x14ac:dyDescent="0.3">
      <c r="A190" s="15" t="s">
        <v>770</v>
      </c>
      <c r="B190" s="15" t="s">
        <v>769</v>
      </c>
      <c r="C190" s="15" t="s">
        <v>751</v>
      </c>
      <c r="D190" s="15" t="s">
        <v>752</v>
      </c>
      <c r="E190" s="15" t="s">
        <v>51</v>
      </c>
      <c r="F190" s="16">
        <f>SUM(Y189:Y189)</f>
        <v>0.04</v>
      </c>
      <c r="G190" s="16"/>
      <c r="H190" s="16"/>
      <c r="I190" s="16"/>
      <c r="J190" s="16"/>
      <c r="K190" s="16">
        <f>ROUND(F190*공량설정_일위대가!B116/100, 공량설정_일위대가!C117)</f>
        <v>0.04</v>
      </c>
      <c r="L190" s="15" t="s">
        <v>51</v>
      </c>
      <c r="M190" s="16"/>
      <c r="N190" s="16"/>
      <c r="O190" s="16" t="s">
        <v>1862</v>
      </c>
      <c r="P190" s="15" t="s">
        <v>51</v>
      </c>
      <c r="Q190" s="1" t="s">
        <v>327</v>
      </c>
      <c r="R190" s="1" t="s">
        <v>51</v>
      </c>
      <c r="T190" s="1" t="s">
        <v>1213</v>
      </c>
    </row>
    <row r="191" spans="1:25" ht="30" customHeight="1" x14ac:dyDescent="0.3">
      <c r="A191" s="40" t="s">
        <v>2098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1:25" ht="30" customHeight="1" x14ac:dyDescent="0.3">
      <c r="A192" s="15" t="s">
        <v>1217</v>
      </c>
      <c r="B192" s="15" t="s">
        <v>338</v>
      </c>
      <c r="C192" s="15" t="s">
        <v>1216</v>
      </c>
      <c r="D192" s="15" t="s">
        <v>58</v>
      </c>
      <c r="E192" s="15" t="s">
        <v>2099</v>
      </c>
      <c r="F192" s="16">
        <v>1</v>
      </c>
      <c r="G192" s="16"/>
      <c r="H192" s="16">
        <v>-10</v>
      </c>
      <c r="I192" s="16"/>
      <c r="J192" s="16"/>
      <c r="K192" s="16">
        <v>1</v>
      </c>
      <c r="L192" s="15" t="s">
        <v>769</v>
      </c>
      <c r="M192" s="16">
        <f>0.41*(H192+100)/100*(I192+100)/100*(J192+100)/100</f>
        <v>0.36899999999999999</v>
      </c>
      <c r="N192" s="16">
        <f>F192*M192</f>
        <v>0.36899999999999999</v>
      </c>
      <c r="O192" s="15" t="s">
        <v>1862</v>
      </c>
      <c r="P192" s="15" t="s">
        <v>2100</v>
      </c>
      <c r="Q192" s="1" t="s">
        <v>341</v>
      </c>
      <c r="R192" s="1" t="s">
        <v>770</v>
      </c>
      <c r="S192">
        <v>0.41</v>
      </c>
      <c r="T192" s="1" t="s">
        <v>1218</v>
      </c>
      <c r="Y192">
        <f>N192</f>
        <v>0.36899999999999999</v>
      </c>
    </row>
    <row r="193" spans="1:25" ht="30" customHeight="1" x14ac:dyDescent="0.3">
      <c r="A193" s="15" t="s">
        <v>770</v>
      </c>
      <c r="B193" s="15" t="s">
        <v>769</v>
      </c>
      <c r="C193" s="15" t="s">
        <v>751</v>
      </c>
      <c r="D193" s="15" t="s">
        <v>752</v>
      </c>
      <c r="E193" s="15" t="s">
        <v>51</v>
      </c>
      <c r="F193" s="16">
        <f>SUM(Y192:Y192)</f>
        <v>0.36899999999999999</v>
      </c>
      <c r="G193" s="16"/>
      <c r="H193" s="16"/>
      <c r="I193" s="16"/>
      <c r="J193" s="16"/>
      <c r="K193" s="16">
        <f>ROUND(F193*공량설정_일위대가!B118/100, 공량설정_일위대가!C119)</f>
        <v>0.36899999999999999</v>
      </c>
      <c r="L193" s="15" t="s">
        <v>51</v>
      </c>
      <c r="M193" s="16"/>
      <c r="N193" s="16"/>
      <c r="O193" s="16" t="s">
        <v>1862</v>
      </c>
      <c r="P193" s="15" t="s">
        <v>51</v>
      </c>
      <c r="Q193" s="1" t="s">
        <v>341</v>
      </c>
      <c r="R193" s="1" t="s">
        <v>51</v>
      </c>
      <c r="T193" s="1" t="s">
        <v>1219</v>
      </c>
    </row>
    <row r="194" spans="1:25" ht="30" customHeight="1" x14ac:dyDescent="0.3">
      <c r="A194" s="40" t="s">
        <v>2101</v>
      </c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1:25" ht="30" customHeight="1" x14ac:dyDescent="0.3">
      <c r="A195" s="15" t="s">
        <v>1223</v>
      </c>
      <c r="B195" s="15" t="s">
        <v>357</v>
      </c>
      <c r="C195" s="15" t="s">
        <v>1222</v>
      </c>
      <c r="D195" s="15" t="s">
        <v>58</v>
      </c>
      <c r="E195" s="15" t="s">
        <v>2018</v>
      </c>
      <c r="F195" s="16">
        <v>1</v>
      </c>
      <c r="G195" s="16">
        <v>0</v>
      </c>
      <c r="H195" s="16">
        <v>-10</v>
      </c>
      <c r="I195" s="16"/>
      <c r="J195" s="16"/>
      <c r="K195" s="16">
        <v>1</v>
      </c>
      <c r="L195" s="15" t="s">
        <v>769</v>
      </c>
      <c r="M195" s="16">
        <f>0.044*(H195+100)/100*(I195+100)/100*(J195+100)/100</f>
        <v>3.9599999999999996E-2</v>
      </c>
      <c r="N195" s="16">
        <f>F195*M195</f>
        <v>3.9599999999999996E-2</v>
      </c>
      <c r="O195" s="15" t="s">
        <v>1862</v>
      </c>
      <c r="P195" s="15" t="s">
        <v>2102</v>
      </c>
      <c r="Q195" s="1" t="s">
        <v>360</v>
      </c>
      <c r="R195" s="1" t="s">
        <v>770</v>
      </c>
      <c r="S195">
        <v>4.3999999999999997E-2</v>
      </c>
      <c r="T195" s="1" t="s">
        <v>1224</v>
      </c>
      <c r="Y195">
        <f>N195</f>
        <v>3.9599999999999996E-2</v>
      </c>
    </row>
    <row r="196" spans="1:25" ht="30" customHeight="1" x14ac:dyDescent="0.3">
      <c r="A196" s="15" t="s">
        <v>1223</v>
      </c>
      <c r="B196" s="15" t="s">
        <v>357</v>
      </c>
      <c r="C196" s="15" t="s">
        <v>1222</v>
      </c>
      <c r="D196" s="15" t="s">
        <v>58</v>
      </c>
      <c r="E196" s="15" t="s">
        <v>2018</v>
      </c>
      <c r="F196" s="16">
        <v>0</v>
      </c>
      <c r="G196" s="16"/>
      <c r="H196" s="16">
        <v>0</v>
      </c>
      <c r="I196" s="16"/>
      <c r="J196" s="16"/>
      <c r="K196" s="16">
        <v>0.1</v>
      </c>
      <c r="L196" s="15" t="s">
        <v>769</v>
      </c>
      <c r="M196" s="16">
        <f>0.044*(H196+100)/100*(I196+100)/100*(J196+100)/100</f>
        <v>4.3999999999999997E-2</v>
      </c>
      <c r="N196" s="16">
        <f>F196*M196</f>
        <v>0</v>
      </c>
      <c r="O196" s="15" t="s">
        <v>1862</v>
      </c>
      <c r="P196" s="15" t="s">
        <v>2103</v>
      </c>
      <c r="Q196" s="1" t="s">
        <v>360</v>
      </c>
      <c r="R196" s="1" t="s">
        <v>770</v>
      </c>
      <c r="S196">
        <v>4.3999999999999997E-2</v>
      </c>
      <c r="T196" s="1" t="s">
        <v>1224</v>
      </c>
      <c r="Y196">
        <f>N196</f>
        <v>0</v>
      </c>
    </row>
    <row r="197" spans="1:25" ht="30" customHeight="1" x14ac:dyDescent="0.3">
      <c r="A197" s="15" t="s">
        <v>770</v>
      </c>
      <c r="B197" s="15" t="s">
        <v>769</v>
      </c>
      <c r="C197" s="15" t="s">
        <v>751</v>
      </c>
      <c r="D197" s="15" t="s">
        <v>752</v>
      </c>
      <c r="E197" s="15" t="s">
        <v>51</v>
      </c>
      <c r="F197" s="16">
        <f>SUM(Y195:Y196)</f>
        <v>3.9599999999999996E-2</v>
      </c>
      <c r="G197" s="16"/>
      <c r="H197" s="16"/>
      <c r="I197" s="16"/>
      <c r="J197" s="16"/>
      <c r="K197" s="16">
        <f>ROUND(F197*공량설정_일위대가!B120/100, 공량설정_일위대가!C121)</f>
        <v>3.9600000000000003E-2</v>
      </c>
      <c r="L197" s="15" t="s">
        <v>51</v>
      </c>
      <c r="M197" s="16"/>
      <c r="N197" s="16"/>
      <c r="O197" s="16" t="s">
        <v>1862</v>
      </c>
      <c r="P197" s="15" t="s">
        <v>51</v>
      </c>
      <c r="Q197" s="1" t="s">
        <v>360</v>
      </c>
      <c r="R197" s="1" t="s">
        <v>51</v>
      </c>
      <c r="T197" s="1" t="s">
        <v>1227</v>
      </c>
    </row>
    <row r="198" spans="1:25" ht="30" customHeight="1" x14ac:dyDescent="0.3">
      <c r="A198" s="40" t="s">
        <v>2104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1:25" ht="30" customHeight="1" x14ac:dyDescent="0.3">
      <c r="A199" s="15" t="s">
        <v>1231</v>
      </c>
      <c r="B199" s="15" t="s">
        <v>1155</v>
      </c>
      <c r="C199" s="15" t="s">
        <v>1230</v>
      </c>
      <c r="D199" s="15" t="s">
        <v>65</v>
      </c>
      <c r="E199" s="15" t="s">
        <v>2018</v>
      </c>
      <c r="F199" s="16">
        <v>1</v>
      </c>
      <c r="G199" s="16"/>
      <c r="H199" s="16">
        <v>0</v>
      </c>
      <c r="I199" s="16"/>
      <c r="J199" s="16"/>
      <c r="K199" s="16">
        <v>1</v>
      </c>
      <c r="L199" s="15" t="s">
        <v>769</v>
      </c>
      <c r="M199" s="16">
        <f>0.04*(H199+100)/100*(I199+100)/100*(J199+100)/100</f>
        <v>0.04</v>
      </c>
      <c r="N199" s="16">
        <f>F199*M199</f>
        <v>0.04</v>
      </c>
      <c r="O199" s="15" t="s">
        <v>1862</v>
      </c>
      <c r="P199" s="15" t="s">
        <v>2097</v>
      </c>
      <c r="Q199" s="1" t="s">
        <v>365</v>
      </c>
      <c r="R199" s="1" t="s">
        <v>770</v>
      </c>
      <c r="S199">
        <v>0.04</v>
      </c>
      <c r="T199" s="1" t="s">
        <v>1232</v>
      </c>
      <c r="Y199">
        <f>N199</f>
        <v>0.04</v>
      </c>
    </row>
    <row r="200" spans="1:25" ht="30" customHeight="1" x14ac:dyDescent="0.3">
      <c r="A200" s="15" t="s">
        <v>1231</v>
      </c>
      <c r="B200" s="15" t="s">
        <v>1155</v>
      </c>
      <c r="C200" s="15" t="s">
        <v>1230</v>
      </c>
      <c r="D200" s="15" t="s">
        <v>65</v>
      </c>
      <c r="E200" s="15" t="s">
        <v>2018</v>
      </c>
      <c r="F200" s="16">
        <v>0</v>
      </c>
      <c r="G200" s="16"/>
      <c r="H200" s="16">
        <v>0</v>
      </c>
      <c r="I200" s="16"/>
      <c r="J200" s="16"/>
      <c r="K200" s="16">
        <v>0.1</v>
      </c>
      <c r="L200" s="15" t="s">
        <v>769</v>
      </c>
      <c r="M200" s="16">
        <f>0.04*(H200+100)/100*(I200+100)/100*(J200+100)/100</f>
        <v>0.04</v>
      </c>
      <c r="N200" s="16">
        <f>F200*M200</f>
        <v>0</v>
      </c>
      <c r="O200" s="15" t="s">
        <v>1862</v>
      </c>
      <c r="P200" s="15" t="s">
        <v>2097</v>
      </c>
      <c r="Q200" s="1" t="s">
        <v>365</v>
      </c>
      <c r="R200" s="1" t="s">
        <v>770</v>
      </c>
      <c r="S200">
        <v>0.04</v>
      </c>
      <c r="T200" s="1" t="s">
        <v>1232</v>
      </c>
      <c r="Y200">
        <f>N200</f>
        <v>0</v>
      </c>
    </row>
    <row r="201" spans="1:25" ht="30" customHeight="1" x14ac:dyDescent="0.3">
      <c r="A201" s="15" t="s">
        <v>770</v>
      </c>
      <c r="B201" s="15" t="s">
        <v>769</v>
      </c>
      <c r="C201" s="15" t="s">
        <v>751</v>
      </c>
      <c r="D201" s="15" t="s">
        <v>752</v>
      </c>
      <c r="E201" s="15" t="s">
        <v>51</v>
      </c>
      <c r="F201" s="16">
        <f>SUM(Y199:Y200)</f>
        <v>0.04</v>
      </c>
      <c r="G201" s="16"/>
      <c r="H201" s="16"/>
      <c r="I201" s="16"/>
      <c r="J201" s="16"/>
      <c r="K201" s="16">
        <f>ROUND(F201*공량설정_일위대가!B122/100, 공량설정_일위대가!C123)</f>
        <v>0.04</v>
      </c>
      <c r="L201" s="15" t="s">
        <v>51</v>
      </c>
      <c r="M201" s="16"/>
      <c r="N201" s="16"/>
      <c r="O201" s="16" t="s">
        <v>1862</v>
      </c>
      <c r="P201" s="15" t="s">
        <v>51</v>
      </c>
      <c r="Q201" s="1" t="s">
        <v>365</v>
      </c>
      <c r="R201" s="1" t="s">
        <v>51</v>
      </c>
      <c r="T201" s="1" t="s">
        <v>1236</v>
      </c>
    </row>
    <row r="202" spans="1:25" ht="30" customHeight="1" x14ac:dyDescent="0.3">
      <c r="A202" s="40" t="s">
        <v>2105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1:25" ht="30" customHeight="1" x14ac:dyDescent="0.3">
      <c r="A203" s="15" t="s">
        <v>1240</v>
      </c>
      <c r="B203" s="15" t="s">
        <v>1171</v>
      </c>
      <c r="C203" s="15" t="s">
        <v>1239</v>
      </c>
      <c r="D203" s="15" t="s">
        <v>58</v>
      </c>
      <c r="E203" s="15" t="s">
        <v>2083</v>
      </c>
      <c r="F203" s="16">
        <v>1</v>
      </c>
      <c r="G203" s="16">
        <v>0</v>
      </c>
      <c r="H203" s="16">
        <v>-10</v>
      </c>
      <c r="I203" s="16"/>
      <c r="J203" s="16"/>
      <c r="K203" s="16">
        <v>1</v>
      </c>
      <c r="L203" s="15" t="s">
        <v>769</v>
      </c>
      <c r="M203" s="16">
        <f>0.12*(H203+100)/100*(I203+100)/100*(J203+100)/100</f>
        <v>0.10799999999999998</v>
      </c>
      <c r="N203" s="16">
        <f>F203*M203</f>
        <v>0.10799999999999998</v>
      </c>
      <c r="O203" s="15" t="s">
        <v>1862</v>
      </c>
      <c r="P203" s="15" t="s">
        <v>2084</v>
      </c>
      <c r="Q203" s="1" t="s">
        <v>370</v>
      </c>
      <c r="R203" s="1" t="s">
        <v>770</v>
      </c>
      <c r="S203">
        <v>0.12</v>
      </c>
      <c r="T203" s="1" t="s">
        <v>1241</v>
      </c>
      <c r="Y203">
        <f>N203</f>
        <v>0.10799999999999998</v>
      </c>
    </row>
    <row r="204" spans="1:25" ht="30" customHeight="1" x14ac:dyDescent="0.3">
      <c r="A204" s="15" t="s">
        <v>770</v>
      </c>
      <c r="B204" s="15" t="s">
        <v>769</v>
      </c>
      <c r="C204" s="15" t="s">
        <v>751</v>
      </c>
      <c r="D204" s="15" t="s">
        <v>752</v>
      </c>
      <c r="E204" s="15" t="s">
        <v>51</v>
      </c>
      <c r="F204" s="16">
        <f>SUM(Y203:Y203)</f>
        <v>0.10799999999999998</v>
      </c>
      <c r="G204" s="16"/>
      <c r="H204" s="16"/>
      <c r="I204" s="16"/>
      <c r="J204" s="16"/>
      <c r="K204" s="16">
        <f>ROUND(F204*공량설정_일위대가!B124/100, 공량설정_일위대가!C125)</f>
        <v>0.108</v>
      </c>
      <c r="L204" s="15" t="s">
        <v>51</v>
      </c>
      <c r="M204" s="16"/>
      <c r="N204" s="16"/>
      <c r="O204" s="16" t="s">
        <v>1862</v>
      </c>
      <c r="P204" s="15" t="s">
        <v>51</v>
      </c>
      <c r="Q204" s="1" t="s">
        <v>370</v>
      </c>
      <c r="R204" s="1" t="s">
        <v>51</v>
      </c>
      <c r="T204" s="1" t="s">
        <v>1242</v>
      </c>
    </row>
    <row r="205" spans="1:25" ht="30" customHeight="1" x14ac:dyDescent="0.3">
      <c r="A205" s="40" t="s">
        <v>2106</v>
      </c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1:25" ht="30" customHeight="1" x14ac:dyDescent="0.3">
      <c r="A206" s="15" t="s">
        <v>1180</v>
      </c>
      <c r="B206" s="15" t="s">
        <v>1178</v>
      </c>
      <c r="C206" s="15" t="s">
        <v>1179</v>
      </c>
      <c r="D206" s="15" t="s">
        <v>65</v>
      </c>
      <c r="E206" s="15" t="s">
        <v>2049</v>
      </c>
      <c r="F206" s="16">
        <v>1</v>
      </c>
      <c r="G206" s="16">
        <v>0</v>
      </c>
      <c r="H206" s="16">
        <v>-10</v>
      </c>
      <c r="I206" s="16"/>
      <c r="J206" s="16"/>
      <c r="K206" s="16">
        <v>1</v>
      </c>
      <c r="L206" s="15" t="s">
        <v>769</v>
      </c>
      <c r="M206" s="16">
        <f>0.01*(H206+100)/100*(I206+100)/100*(J206+100)/100</f>
        <v>9.0000000000000011E-3</v>
      </c>
      <c r="N206" s="16">
        <f>F206*M206</f>
        <v>9.0000000000000011E-3</v>
      </c>
      <c r="O206" s="15" t="s">
        <v>1862</v>
      </c>
      <c r="P206" s="15" t="s">
        <v>2107</v>
      </c>
      <c r="Q206" s="1" t="s">
        <v>374</v>
      </c>
      <c r="R206" s="1" t="s">
        <v>770</v>
      </c>
      <c r="S206">
        <v>0.01</v>
      </c>
      <c r="T206" s="1" t="s">
        <v>1245</v>
      </c>
      <c r="Y206">
        <f>N206</f>
        <v>9.0000000000000011E-3</v>
      </c>
    </row>
    <row r="207" spans="1:25" ht="30" customHeight="1" x14ac:dyDescent="0.3">
      <c r="A207" s="15" t="s">
        <v>1180</v>
      </c>
      <c r="B207" s="15" t="s">
        <v>1178</v>
      </c>
      <c r="C207" s="15" t="s">
        <v>1179</v>
      </c>
      <c r="D207" s="15" t="s">
        <v>65</v>
      </c>
      <c r="E207" s="15" t="s">
        <v>2049</v>
      </c>
      <c r="F207" s="16">
        <v>0</v>
      </c>
      <c r="G207" s="16">
        <v>0</v>
      </c>
      <c r="H207" s="16"/>
      <c r="I207" s="16"/>
      <c r="J207" s="16"/>
      <c r="K207" s="16">
        <v>0.1</v>
      </c>
      <c r="L207" s="15" t="s">
        <v>769</v>
      </c>
      <c r="M207" s="16">
        <f>0.01*(H207+100)/100*(I207+100)/100*(J207+100)/100</f>
        <v>0.01</v>
      </c>
      <c r="N207" s="16">
        <f>F207*M207</f>
        <v>0</v>
      </c>
      <c r="O207" s="15" t="s">
        <v>1862</v>
      </c>
      <c r="P207" s="15" t="s">
        <v>2088</v>
      </c>
      <c r="Q207" s="1" t="s">
        <v>374</v>
      </c>
      <c r="R207" s="1" t="s">
        <v>770</v>
      </c>
      <c r="S207">
        <v>0.01</v>
      </c>
      <c r="T207" s="1" t="s">
        <v>1245</v>
      </c>
      <c r="Y207">
        <f>N207</f>
        <v>0</v>
      </c>
    </row>
    <row r="208" spans="1:25" ht="30" customHeight="1" x14ac:dyDescent="0.3">
      <c r="A208" s="15" t="s">
        <v>770</v>
      </c>
      <c r="B208" s="15" t="s">
        <v>769</v>
      </c>
      <c r="C208" s="15" t="s">
        <v>751</v>
      </c>
      <c r="D208" s="15" t="s">
        <v>752</v>
      </c>
      <c r="E208" s="15" t="s">
        <v>51</v>
      </c>
      <c r="F208" s="16">
        <f>SUM(Y206:Y207)</f>
        <v>9.0000000000000011E-3</v>
      </c>
      <c r="G208" s="16"/>
      <c r="H208" s="16"/>
      <c r="I208" s="16"/>
      <c r="J208" s="16"/>
      <c r="K208" s="16">
        <f>ROUND(F208*공량설정_일위대가!B126/100, 공량설정_일위대가!C127)</f>
        <v>8.9999999999999993E-3</v>
      </c>
      <c r="L208" s="15" t="s">
        <v>51</v>
      </c>
      <c r="M208" s="16"/>
      <c r="N208" s="16"/>
      <c r="O208" s="16" t="s">
        <v>1862</v>
      </c>
      <c r="P208" s="15" t="s">
        <v>51</v>
      </c>
      <c r="Q208" s="1" t="s">
        <v>374</v>
      </c>
      <c r="R208" s="1" t="s">
        <v>51</v>
      </c>
      <c r="T208" s="1" t="s">
        <v>1247</v>
      </c>
    </row>
    <row r="209" spans="1:25" ht="30" customHeight="1" x14ac:dyDescent="0.3">
      <c r="A209" s="40" t="s">
        <v>2108</v>
      </c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1:25" ht="30" customHeight="1" x14ac:dyDescent="0.3">
      <c r="A210" s="15" t="s">
        <v>1180</v>
      </c>
      <c r="B210" s="15" t="s">
        <v>1178</v>
      </c>
      <c r="C210" s="15" t="s">
        <v>1179</v>
      </c>
      <c r="D210" s="15" t="s">
        <v>65</v>
      </c>
      <c r="E210" s="15" t="s">
        <v>2049</v>
      </c>
      <c r="F210" s="16">
        <v>1</v>
      </c>
      <c r="G210" s="16">
        <v>0</v>
      </c>
      <c r="H210" s="16">
        <v>-15</v>
      </c>
      <c r="I210" s="16"/>
      <c r="J210" s="16"/>
      <c r="K210" s="16">
        <v>1</v>
      </c>
      <c r="L210" s="15" t="s">
        <v>769</v>
      </c>
      <c r="M210" s="16">
        <f>0.01*(H210+100)/100*(I210+100)/100*(J210+100)/100</f>
        <v>8.5000000000000006E-3</v>
      </c>
      <c r="N210" s="16">
        <f>F210*M210</f>
        <v>8.5000000000000006E-3</v>
      </c>
      <c r="O210" s="15" t="s">
        <v>1862</v>
      </c>
      <c r="P210" s="15" t="s">
        <v>2109</v>
      </c>
      <c r="Q210" s="1" t="s">
        <v>379</v>
      </c>
      <c r="R210" s="1" t="s">
        <v>770</v>
      </c>
      <c r="S210">
        <v>0.01</v>
      </c>
      <c r="T210" s="1" t="s">
        <v>1250</v>
      </c>
      <c r="Y210">
        <f>N210</f>
        <v>8.5000000000000006E-3</v>
      </c>
    </row>
    <row r="211" spans="1:25" ht="30" customHeight="1" x14ac:dyDescent="0.3">
      <c r="A211" s="15" t="s">
        <v>1180</v>
      </c>
      <c r="B211" s="15" t="s">
        <v>1178</v>
      </c>
      <c r="C211" s="15" t="s">
        <v>1179</v>
      </c>
      <c r="D211" s="15" t="s">
        <v>65</v>
      </c>
      <c r="E211" s="15" t="s">
        <v>2049</v>
      </c>
      <c r="F211" s="16">
        <v>0</v>
      </c>
      <c r="G211" s="16">
        <v>0</v>
      </c>
      <c r="H211" s="16"/>
      <c r="I211" s="16"/>
      <c r="J211" s="16"/>
      <c r="K211" s="16">
        <v>0.1</v>
      </c>
      <c r="L211" s="15" t="s">
        <v>769</v>
      </c>
      <c r="M211" s="16">
        <f>0.01*(H211+100)/100*(I211+100)/100*(J211+100)/100</f>
        <v>0.01</v>
      </c>
      <c r="N211" s="16">
        <f>F211*M211</f>
        <v>0</v>
      </c>
      <c r="O211" s="15" t="s">
        <v>1862</v>
      </c>
      <c r="P211" s="15" t="s">
        <v>2088</v>
      </c>
      <c r="Q211" s="1" t="s">
        <v>379</v>
      </c>
      <c r="R211" s="1" t="s">
        <v>770</v>
      </c>
      <c r="S211">
        <v>0.01</v>
      </c>
      <c r="T211" s="1" t="s">
        <v>1250</v>
      </c>
      <c r="Y211">
        <f>N211</f>
        <v>0</v>
      </c>
    </row>
    <row r="212" spans="1:25" ht="30" customHeight="1" x14ac:dyDescent="0.3">
      <c r="A212" s="15" t="s">
        <v>770</v>
      </c>
      <c r="B212" s="15" t="s">
        <v>769</v>
      </c>
      <c r="C212" s="15" t="s">
        <v>751</v>
      </c>
      <c r="D212" s="15" t="s">
        <v>752</v>
      </c>
      <c r="E212" s="15" t="s">
        <v>51</v>
      </c>
      <c r="F212" s="16">
        <f>SUM(Y210:Y211)</f>
        <v>8.5000000000000006E-3</v>
      </c>
      <c r="G212" s="16"/>
      <c r="H212" s="16"/>
      <c r="I212" s="16"/>
      <c r="J212" s="16"/>
      <c r="K212" s="16">
        <f>ROUND(F212*공량설정_일위대가!B128/100, 공량설정_일위대가!C129)</f>
        <v>8.5000000000000006E-3</v>
      </c>
      <c r="L212" s="15" t="s">
        <v>51</v>
      </c>
      <c r="M212" s="16"/>
      <c r="N212" s="16"/>
      <c r="O212" s="16" t="s">
        <v>1862</v>
      </c>
      <c r="P212" s="15" t="s">
        <v>51</v>
      </c>
      <c r="Q212" s="1" t="s">
        <v>379</v>
      </c>
      <c r="R212" s="1" t="s">
        <v>51</v>
      </c>
      <c r="T212" s="1" t="s">
        <v>1252</v>
      </c>
    </row>
    <row r="213" spans="1:25" ht="30" customHeight="1" x14ac:dyDescent="0.3">
      <c r="A213" s="40" t="s">
        <v>2110</v>
      </c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1:25" ht="30" customHeight="1" x14ac:dyDescent="0.3">
      <c r="A214" s="15" t="s">
        <v>1180</v>
      </c>
      <c r="B214" s="15" t="s">
        <v>1178</v>
      </c>
      <c r="C214" s="15" t="s">
        <v>1179</v>
      </c>
      <c r="D214" s="15" t="s">
        <v>65</v>
      </c>
      <c r="E214" s="15" t="s">
        <v>2049</v>
      </c>
      <c r="F214" s="16">
        <v>1</v>
      </c>
      <c r="G214" s="16">
        <v>0</v>
      </c>
      <c r="H214" s="16">
        <v>-16</v>
      </c>
      <c r="I214" s="16"/>
      <c r="J214" s="16"/>
      <c r="K214" s="16">
        <v>1</v>
      </c>
      <c r="L214" s="15" t="s">
        <v>769</v>
      </c>
      <c r="M214" s="16">
        <f>0.01*(H214+100)/100*(I214+100)/100*(J214+100)/100</f>
        <v>8.3999999999999995E-3</v>
      </c>
      <c r="N214" s="16">
        <f>F214*M214</f>
        <v>8.3999999999999995E-3</v>
      </c>
      <c r="O214" s="15" t="s">
        <v>1862</v>
      </c>
      <c r="P214" s="15" t="s">
        <v>2111</v>
      </c>
      <c r="Q214" s="1" t="s">
        <v>383</v>
      </c>
      <c r="R214" s="1" t="s">
        <v>770</v>
      </c>
      <c r="S214">
        <v>0.01</v>
      </c>
      <c r="T214" s="1" t="s">
        <v>1255</v>
      </c>
      <c r="Y214">
        <f>N214</f>
        <v>8.3999999999999995E-3</v>
      </c>
    </row>
    <row r="215" spans="1:25" ht="30" customHeight="1" x14ac:dyDescent="0.3">
      <c r="A215" s="15" t="s">
        <v>1180</v>
      </c>
      <c r="B215" s="15" t="s">
        <v>1178</v>
      </c>
      <c r="C215" s="15" t="s">
        <v>1179</v>
      </c>
      <c r="D215" s="15" t="s">
        <v>65</v>
      </c>
      <c r="E215" s="15" t="s">
        <v>2049</v>
      </c>
      <c r="F215" s="16">
        <v>0</v>
      </c>
      <c r="G215" s="16">
        <v>0</v>
      </c>
      <c r="H215" s="16"/>
      <c r="I215" s="16"/>
      <c r="J215" s="16"/>
      <c r="K215" s="16">
        <v>0.1</v>
      </c>
      <c r="L215" s="15" t="s">
        <v>769</v>
      </c>
      <c r="M215" s="16">
        <f>0.01*(H215+100)/100*(I215+100)/100*(J215+100)/100</f>
        <v>0.01</v>
      </c>
      <c r="N215" s="16">
        <f>F215*M215</f>
        <v>0</v>
      </c>
      <c r="O215" s="15" t="s">
        <v>1862</v>
      </c>
      <c r="P215" s="15" t="s">
        <v>2088</v>
      </c>
      <c r="Q215" s="1" t="s">
        <v>383</v>
      </c>
      <c r="R215" s="1" t="s">
        <v>770</v>
      </c>
      <c r="S215">
        <v>0.01</v>
      </c>
      <c r="T215" s="1" t="s">
        <v>1255</v>
      </c>
      <c r="Y215">
        <f>N215</f>
        <v>0</v>
      </c>
    </row>
    <row r="216" spans="1:25" ht="30" customHeight="1" x14ac:dyDescent="0.3">
      <c r="A216" s="15" t="s">
        <v>770</v>
      </c>
      <c r="B216" s="15" t="s">
        <v>769</v>
      </c>
      <c r="C216" s="15" t="s">
        <v>751</v>
      </c>
      <c r="D216" s="15" t="s">
        <v>752</v>
      </c>
      <c r="E216" s="15" t="s">
        <v>51</v>
      </c>
      <c r="F216" s="16">
        <f>SUM(Y214:Y215)</f>
        <v>8.3999999999999995E-3</v>
      </c>
      <c r="G216" s="16"/>
      <c r="H216" s="16"/>
      <c r="I216" s="16"/>
      <c r="J216" s="16"/>
      <c r="K216" s="16">
        <f>ROUND(F216*공량설정_일위대가!B130/100, 공량설정_일위대가!C131)</f>
        <v>8.3999999999999995E-3</v>
      </c>
      <c r="L216" s="15" t="s">
        <v>51</v>
      </c>
      <c r="M216" s="16"/>
      <c r="N216" s="16"/>
      <c r="O216" s="16" t="s">
        <v>1862</v>
      </c>
      <c r="P216" s="15" t="s">
        <v>51</v>
      </c>
      <c r="Q216" s="1" t="s">
        <v>383</v>
      </c>
      <c r="R216" s="1" t="s">
        <v>51</v>
      </c>
      <c r="T216" s="1" t="s">
        <v>1257</v>
      </c>
    </row>
    <row r="217" spans="1:25" ht="30" customHeight="1" x14ac:dyDescent="0.3">
      <c r="A217" s="40" t="s">
        <v>2112</v>
      </c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1:25" ht="30" customHeight="1" x14ac:dyDescent="0.3">
      <c r="A218" s="15" t="s">
        <v>1261</v>
      </c>
      <c r="B218" s="15" t="s">
        <v>385</v>
      </c>
      <c r="C218" s="15" t="s">
        <v>51</v>
      </c>
      <c r="D218" s="15" t="s">
        <v>1260</v>
      </c>
      <c r="E218" s="15" t="s">
        <v>2113</v>
      </c>
      <c r="F218" s="16">
        <v>1</v>
      </c>
      <c r="G218" s="16">
        <v>0</v>
      </c>
      <c r="H218" s="16"/>
      <c r="I218" s="16"/>
      <c r="J218" s="16"/>
      <c r="K218" s="16">
        <v>1</v>
      </c>
      <c r="L218" s="15" t="s">
        <v>769</v>
      </c>
      <c r="M218" s="16">
        <f>0.263*(H218+100)/100*(I218+100)/100*(J218+100)/100</f>
        <v>0.26300000000000001</v>
      </c>
      <c r="N218" s="16">
        <f>F218*M218</f>
        <v>0.26300000000000001</v>
      </c>
      <c r="O218" s="15" t="s">
        <v>1862</v>
      </c>
      <c r="P218" s="15" t="s">
        <v>2114</v>
      </c>
      <c r="Q218" s="1" t="s">
        <v>388</v>
      </c>
      <c r="R218" s="1" t="s">
        <v>770</v>
      </c>
      <c r="S218">
        <v>0.26300000000000001</v>
      </c>
      <c r="T218" s="1" t="s">
        <v>1262</v>
      </c>
      <c r="Y218">
        <f>N218</f>
        <v>0.26300000000000001</v>
      </c>
    </row>
    <row r="219" spans="1:25" ht="30" customHeight="1" x14ac:dyDescent="0.3">
      <c r="A219" s="15" t="s">
        <v>770</v>
      </c>
      <c r="B219" s="15" t="s">
        <v>769</v>
      </c>
      <c r="C219" s="15" t="s">
        <v>751</v>
      </c>
      <c r="D219" s="15" t="s">
        <v>752</v>
      </c>
      <c r="E219" s="15" t="s">
        <v>51</v>
      </c>
      <c r="F219" s="16">
        <f>SUM(Y218:Y218)</f>
        <v>0.26300000000000001</v>
      </c>
      <c r="G219" s="16"/>
      <c r="H219" s="16"/>
      <c r="I219" s="16"/>
      <c r="J219" s="16"/>
      <c r="K219" s="16">
        <f>ROUND(F219*공량설정_일위대가!B132/100, 공량설정_일위대가!C133)</f>
        <v>0.26300000000000001</v>
      </c>
      <c r="L219" s="15" t="s">
        <v>51</v>
      </c>
      <c r="M219" s="16"/>
      <c r="N219" s="16"/>
      <c r="O219" s="16" t="s">
        <v>1862</v>
      </c>
      <c r="P219" s="15" t="s">
        <v>51</v>
      </c>
      <c r="Q219" s="1" t="s">
        <v>388</v>
      </c>
      <c r="R219" s="1" t="s">
        <v>51</v>
      </c>
      <c r="T219" s="1" t="s">
        <v>1263</v>
      </c>
    </row>
    <row r="220" spans="1:25" ht="30" customHeight="1" x14ac:dyDescent="0.3">
      <c r="A220" s="40" t="s">
        <v>2115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1:25" ht="30" customHeight="1" x14ac:dyDescent="0.3">
      <c r="A221" s="15" t="s">
        <v>1266</v>
      </c>
      <c r="B221" s="15" t="s">
        <v>390</v>
      </c>
      <c r="C221" s="15" t="s">
        <v>51</v>
      </c>
      <c r="D221" s="15" t="s">
        <v>1260</v>
      </c>
      <c r="E221" s="15" t="s">
        <v>2113</v>
      </c>
      <c r="F221" s="16">
        <v>1</v>
      </c>
      <c r="G221" s="16">
        <v>0</v>
      </c>
      <c r="H221" s="16"/>
      <c r="I221" s="16"/>
      <c r="J221" s="16"/>
      <c r="K221" s="16">
        <v>1</v>
      </c>
      <c r="L221" s="15" t="s">
        <v>769</v>
      </c>
      <c r="M221" s="16">
        <f>0.221*(H221+100)/100*(I221+100)/100*(J221+100)/100</f>
        <v>0.221</v>
      </c>
      <c r="N221" s="16">
        <f>F221*M221</f>
        <v>0.221</v>
      </c>
      <c r="O221" s="15" t="s">
        <v>1862</v>
      </c>
      <c r="P221" s="15" t="s">
        <v>2116</v>
      </c>
      <c r="Q221" s="1" t="s">
        <v>393</v>
      </c>
      <c r="R221" s="1" t="s">
        <v>770</v>
      </c>
      <c r="S221">
        <v>0.221</v>
      </c>
      <c r="T221" s="1" t="s">
        <v>1267</v>
      </c>
      <c r="Y221">
        <f>N221</f>
        <v>0.221</v>
      </c>
    </row>
    <row r="222" spans="1:25" ht="30" customHeight="1" x14ac:dyDescent="0.3">
      <c r="A222" s="15" t="s">
        <v>770</v>
      </c>
      <c r="B222" s="15" t="s">
        <v>769</v>
      </c>
      <c r="C222" s="15" t="s">
        <v>751</v>
      </c>
      <c r="D222" s="15" t="s">
        <v>752</v>
      </c>
      <c r="E222" s="15" t="s">
        <v>51</v>
      </c>
      <c r="F222" s="16">
        <f>SUM(Y221:Y221)</f>
        <v>0.221</v>
      </c>
      <c r="G222" s="16"/>
      <c r="H222" s="16"/>
      <c r="I222" s="16"/>
      <c r="J222" s="16"/>
      <c r="K222" s="16">
        <f>ROUND(F222*공량설정_일위대가!B134/100, 공량설정_일위대가!C135)</f>
        <v>0.221</v>
      </c>
      <c r="L222" s="15" t="s">
        <v>51</v>
      </c>
      <c r="M222" s="16"/>
      <c r="N222" s="16"/>
      <c r="O222" s="16" t="s">
        <v>1862</v>
      </c>
      <c r="P222" s="15" t="s">
        <v>51</v>
      </c>
      <c r="Q222" s="1" t="s">
        <v>393</v>
      </c>
      <c r="R222" s="1" t="s">
        <v>51</v>
      </c>
      <c r="T222" s="1" t="s">
        <v>1268</v>
      </c>
    </row>
    <row r="223" spans="1:25" ht="30" customHeight="1" x14ac:dyDescent="0.3">
      <c r="A223" s="40" t="s">
        <v>2117</v>
      </c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1:25" ht="30" customHeight="1" x14ac:dyDescent="0.3">
      <c r="A224" s="15" t="s">
        <v>1271</v>
      </c>
      <c r="B224" s="15" t="s">
        <v>395</v>
      </c>
      <c r="C224" s="15" t="s">
        <v>51</v>
      </c>
      <c r="D224" s="15" t="s">
        <v>1260</v>
      </c>
      <c r="E224" s="15" t="s">
        <v>2113</v>
      </c>
      <c r="F224" s="16">
        <v>1</v>
      </c>
      <c r="G224" s="16">
        <v>0</v>
      </c>
      <c r="H224" s="16"/>
      <c r="I224" s="16"/>
      <c r="J224" s="16"/>
      <c r="K224" s="16">
        <v>1</v>
      </c>
      <c r="L224" s="15" t="s">
        <v>769</v>
      </c>
      <c r="M224" s="16">
        <f>0.155*(H224+100)/100*(I224+100)/100*(J224+100)/100</f>
        <v>0.155</v>
      </c>
      <c r="N224" s="16">
        <f>F224*M224</f>
        <v>0.155</v>
      </c>
      <c r="O224" s="15" t="s">
        <v>1862</v>
      </c>
      <c r="P224" s="15" t="s">
        <v>2118</v>
      </c>
      <c r="Q224" s="1" t="s">
        <v>398</v>
      </c>
      <c r="R224" s="1" t="s">
        <v>770</v>
      </c>
      <c r="S224">
        <v>0.155</v>
      </c>
      <c r="T224" s="1" t="s">
        <v>1272</v>
      </c>
      <c r="Y224">
        <f>N224</f>
        <v>0.155</v>
      </c>
    </row>
    <row r="225" spans="1:25" ht="30" customHeight="1" x14ac:dyDescent="0.3">
      <c r="A225" s="15" t="s">
        <v>770</v>
      </c>
      <c r="B225" s="15" t="s">
        <v>769</v>
      </c>
      <c r="C225" s="15" t="s">
        <v>751</v>
      </c>
      <c r="D225" s="15" t="s">
        <v>752</v>
      </c>
      <c r="E225" s="15" t="s">
        <v>51</v>
      </c>
      <c r="F225" s="16">
        <f>SUM(Y224:Y224)</f>
        <v>0.155</v>
      </c>
      <c r="G225" s="16"/>
      <c r="H225" s="16"/>
      <c r="I225" s="16"/>
      <c r="J225" s="16"/>
      <c r="K225" s="16">
        <f>ROUND(F225*공량설정_일위대가!B136/100, 공량설정_일위대가!C137)</f>
        <v>0.155</v>
      </c>
      <c r="L225" s="15" t="s">
        <v>51</v>
      </c>
      <c r="M225" s="16"/>
      <c r="N225" s="16"/>
      <c r="O225" s="16" t="s">
        <v>1862</v>
      </c>
      <c r="P225" s="15" t="s">
        <v>51</v>
      </c>
      <c r="Q225" s="1" t="s">
        <v>398</v>
      </c>
      <c r="R225" s="1" t="s">
        <v>51</v>
      </c>
      <c r="T225" s="1" t="s">
        <v>1273</v>
      </c>
    </row>
    <row r="226" spans="1:25" ht="30" customHeight="1" x14ac:dyDescent="0.3">
      <c r="A226" s="40" t="s">
        <v>2119</v>
      </c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1:25" ht="30" customHeight="1" x14ac:dyDescent="0.3">
      <c r="A227" s="15" t="s">
        <v>1276</v>
      </c>
      <c r="B227" s="15" t="s">
        <v>400</v>
      </c>
      <c r="C227" s="15" t="s">
        <v>51</v>
      </c>
      <c r="D227" s="15" t="s">
        <v>1260</v>
      </c>
      <c r="E227" s="15" t="s">
        <v>2113</v>
      </c>
      <c r="F227" s="16">
        <v>1</v>
      </c>
      <c r="G227" s="16">
        <v>0</v>
      </c>
      <c r="H227" s="16"/>
      <c r="I227" s="16"/>
      <c r="J227" s="16"/>
      <c r="K227" s="16">
        <v>1</v>
      </c>
      <c r="L227" s="15" t="s">
        <v>769</v>
      </c>
      <c r="M227" s="16">
        <f>0.117*(H227+100)/100*(I227+100)/100*(J227+100)/100</f>
        <v>0.11700000000000001</v>
      </c>
      <c r="N227" s="16">
        <f>F227*M227</f>
        <v>0.11700000000000001</v>
      </c>
      <c r="O227" s="15" t="s">
        <v>1862</v>
      </c>
      <c r="P227" s="15" t="s">
        <v>2120</v>
      </c>
      <c r="Q227" s="1" t="s">
        <v>403</v>
      </c>
      <c r="R227" s="1" t="s">
        <v>770</v>
      </c>
      <c r="S227">
        <v>0.11700000000000001</v>
      </c>
      <c r="T227" s="1" t="s">
        <v>1277</v>
      </c>
      <c r="Y227">
        <f>N227</f>
        <v>0.11700000000000001</v>
      </c>
    </row>
    <row r="228" spans="1:25" ht="30" customHeight="1" x14ac:dyDescent="0.3">
      <c r="A228" s="15" t="s">
        <v>770</v>
      </c>
      <c r="B228" s="15" t="s">
        <v>769</v>
      </c>
      <c r="C228" s="15" t="s">
        <v>751</v>
      </c>
      <c r="D228" s="15" t="s">
        <v>752</v>
      </c>
      <c r="E228" s="15" t="s">
        <v>51</v>
      </c>
      <c r="F228" s="16">
        <f>SUM(Y227:Y227)</f>
        <v>0.11700000000000001</v>
      </c>
      <c r="G228" s="16"/>
      <c r="H228" s="16"/>
      <c r="I228" s="16"/>
      <c r="J228" s="16"/>
      <c r="K228" s="16">
        <f>ROUND(F228*공량설정_일위대가!B138/100, 공량설정_일위대가!C139)</f>
        <v>0.11700000000000001</v>
      </c>
      <c r="L228" s="15" t="s">
        <v>51</v>
      </c>
      <c r="M228" s="16"/>
      <c r="N228" s="16"/>
      <c r="O228" s="16" t="s">
        <v>1862</v>
      </c>
      <c r="P228" s="15" t="s">
        <v>51</v>
      </c>
      <c r="Q228" s="1" t="s">
        <v>403</v>
      </c>
      <c r="R228" s="1" t="s">
        <v>51</v>
      </c>
      <c r="T228" s="1" t="s">
        <v>1278</v>
      </c>
    </row>
    <row r="229" spans="1:25" ht="30" customHeight="1" x14ac:dyDescent="0.3">
      <c r="A229" s="40" t="s">
        <v>2121</v>
      </c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1:25" ht="30" customHeight="1" x14ac:dyDescent="0.3">
      <c r="A230" s="15" t="s">
        <v>1281</v>
      </c>
      <c r="B230" s="15" t="s">
        <v>405</v>
      </c>
      <c r="C230" s="15" t="s">
        <v>51</v>
      </c>
      <c r="D230" s="15" t="s">
        <v>1260</v>
      </c>
      <c r="E230" s="15" t="s">
        <v>2113</v>
      </c>
      <c r="F230" s="16">
        <v>1</v>
      </c>
      <c r="G230" s="16">
        <v>0</v>
      </c>
      <c r="H230" s="16"/>
      <c r="I230" s="16"/>
      <c r="J230" s="16"/>
      <c r="K230" s="16">
        <v>1</v>
      </c>
      <c r="L230" s="15" t="s">
        <v>769</v>
      </c>
      <c r="M230" s="16">
        <f>0.117*(H230+100)/100*(I230+100)/100*(J230+100)/100</f>
        <v>0.11700000000000001</v>
      </c>
      <c r="N230" s="16">
        <f>F230*M230</f>
        <v>0.11700000000000001</v>
      </c>
      <c r="O230" s="15" t="s">
        <v>1862</v>
      </c>
      <c r="P230" s="15" t="s">
        <v>2120</v>
      </c>
      <c r="Q230" s="1" t="s">
        <v>408</v>
      </c>
      <c r="R230" s="1" t="s">
        <v>770</v>
      </c>
      <c r="S230">
        <v>0.11700000000000001</v>
      </c>
      <c r="T230" s="1" t="s">
        <v>1282</v>
      </c>
      <c r="Y230">
        <f>N230</f>
        <v>0.11700000000000001</v>
      </c>
    </row>
    <row r="231" spans="1:25" ht="30" customHeight="1" x14ac:dyDescent="0.3">
      <c r="A231" s="15" t="s">
        <v>770</v>
      </c>
      <c r="B231" s="15" t="s">
        <v>769</v>
      </c>
      <c r="C231" s="15" t="s">
        <v>751</v>
      </c>
      <c r="D231" s="15" t="s">
        <v>752</v>
      </c>
      <c r="E231" s="15" t="s">
        <v>51</v>
      </c>
      <c r="F231" s="16">
        <f>SUM(Y230:Y230)</f>
        <v>0.11700000000000001</v>
      </c>
      <c r="G231" s="16"/>
      <c r="H231" s="16"/>
      <c r="I231" s="16"/>
      <c r="J231" s="16"/>
      <c r="K231" s="16">
        <f>ROUND(F231*공량설정_일위대가!B140/100, 공량설정_일위대가!C141)</f>
        <v>0.11700000000000001</v>
      </c>
      <c r="L231" s="15" t="s">
        <v>51</v>
      </c>
      <c r="M231" s="16"/>
      <c r="N231" s="16"/>
      <c r="O231" s="16" t="s">
        <v>1862</v>
      </c>
      <c r="P231" s="15" t="s">
        <v>51</v>
      </c>
      <c r="Q231" s="1" t="s">
        <v>408</v>
      </c>
      <c r="R231" s="1" t="s">
        <v>51</v>
      </c>
      <c r="T231" s="1" t="s">
        <v>1283</v>
      </c>
    </row>
    <row r="232" spans="1:25" ht="30" customHeight="1" x14ac:dyDescent="0.3">
      <c r="A232" s="40" t="s">
        <v>2122</v>
      </c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1:25" ht="30" customHeight="1" x14ac:dyDescent="0.3">
      <c r="A233" s="15" t="s">
        <v>1288</v>
      </c>
      <c r="B233" s="15" t="s">
        <v>1286</v>
      </c>
      <c r="C233" s="15" t="s">
        <v>1287</v>
      </c>
      <c r="D233" s="15" t="s">
        <v>58</v>
      </c>
      <c r="E233" s="15" t="s">
        <v>2092</v>
      </c>
      <c r="F233" s="16">
        <v>1</v>
      </c>
      <c r="G233" s="16"/>
      <c r="H233" s="16">
        <v>0</v>
      </c>
      <c r="I233" s="16"/>
      <c r="J233" s="16"/>
      <c r="K233" s="16">
        <v>1</v>
      </c>
      <c r="L233" s="15" t="s">
        <v>769</v>
      </c>
      <c r="M233" s="16">
        <f>0.085*(H233+100)/100*(I233+100)/100*(J233+100)/100</f>
        <v>8.5000000000000006E-2</v>
      </c>
      <c r="N233" s="16">
        <f>F233*M233</f>
        <v>8.5000000000000006E-2</v>
      </c>
      <c r="O233" s="15" t="s">
        <v>1862</v>
      </c>
      <c r="P233" s="15" t="s">
        <v>2123</v>
      </c>
      <c r="Q233" s="1" t="s">
        <v>413</v>
      </c>
      <c r="R233" s="1" t="s">
        <v>770</v>
      </c>
      <c r="S233">
        <v>8.5000000000000006E-2</v>
      </c>
      <c r="T233" s="1" t="s">
        <v>1289</v>
      </c>
      <c r="Y233">
        <f>N233</f>
        <v>8.5000000000000006E-2</v>
      </c>
    </row>
    <row r="234" spans="1:25" ht="30" customHeight="1" x14ac:dyDescent="0.3">
      <c r="A234" s="15" t="s">
        <v>770</v>
      </c>
      <c r="B234" s="15" t="s">
        <v>769</v>
      </c>
      <c r="C234" s="15" t="s">
        <v>751</v>
      </c>
      <c r="D234" s="15" t="s">
        <v>752</v>
      </c>
      <c r="E234" s="15" t="s">
        <v>51</v>
      </c>
      <c r="F234" s="16">
        <f>SUM(Y233:Y233)</f>
        <v>8.5000000000000006E-2</v>
      </c>
      <c r="G234" s="16"/>
      <c r="H234" s="16"/>
      <c r="I234" s="16"/>
      <c r="J234" s="16"/>
      <c r="K234" s="16">
        <f>ROUND(F234*공량설정_일위대가!B142/100, 공량설정_일위대가!C143)</f>
        <v>8.5000000000000006E-2</v>
      </c>
      <c r="L234" s="15" t="s">
        <v>51</v>
      </c>
      <c r="M234" s="16"/>
      <c r="N234" s="16"/>
      <c r="O234" s="16" t="s">
        <v>1862</v>
      </c>
      <c r="P234" s="15" t="s">
        <v>51</v>
      </c>
      <c r="Q234" s="1" t="s">
        <v>413</v>
      </c>
      <c r="R234" s="1" t="s">
        <v>51</v>
      </c>
      <c r="T234" s="1" t="s">
        <v>1290</v>
      </c>
    </row>
    <row r="235" spans="1:25" ht="30" customHeight="1" x14ac:dyDescent="0.3">
      <c r="A235" s="40" t="s">
        <v>2124</v>
      </c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1:25" ht="30" customHeight="1" x14ac:dyDescent="0.3">
      <c r="A236" s="15" t="s">
        <v>1294</v>
      </c>
      <c r="B236" s="15" t="s">
        <v>1286</v>
      </c>
      <c r="C236" s="15" t="s">
        <v>1293</v>
      </c>
      <c r="D236" s="15" t="s">
        <v>58</v>
      </c>
      <c r="E236" s="15" t="s">
        <v>2092</v>
      </c>
      <c r="F236" s="16">
        <v>1</v>
      </c>
      <c r="G236" s="16"/>
      <c r="H236" s="16">
        <v>0</v>
      </c>
      <c r="I236" s="16"/>
      <c r="J236" s="16"/>
      <c r="K236" s="16">
        <v>1</v>
      </c>
      <c r="L236" s="15" t="s">
        <v>769</v>
      </c>
      <c r="M236" s="16">
        <f>0.085*(H236+100)/100*(I236+100)/100*(J236+100)/100</f>
        <v>8.5000000000000006E-2</v>
      </c>
      <c r="N236" s="16">
        <f>F236*M236</f>
        <v>8.5000000000000006E-2</v>
      </c>
      <c r="O236" s="15" t="s">
        <v>1862</v>
      </c>
      <c r="P236" s="15" t="s">
        <v>2123</v>
      </c>
      <c r="Q236" s="1" t="s">
        <v>417</v>
      </c>
      <c r="R236" s="1" t="s">
        <v>770</v>
      </c>
      <c r="S236">
        <v>8.5000000000000006E-2</v>
      </c>
      <c r="T236" s="1" t="s">
        <v>1295</v>
      </c>
      <c r="Y236">
        <f>N236</f>
        <v>8.5000000000000006E-2</v>
      </c>
    </row>
    <row r="237" spans="1:25" ht="30" customHeight="1" x14ac:dyDescent="0.3">
      <c r="A237" s="15" t="s">
        <v>770</v>
      </c>
      <c r="B237" s="15" t="s">
        <v>769</v>
      </c>
      <c r="C237" s="15" t="s">
        <v>751</v>
      </c>
      <c r="D237" s="15" t="s">
        <v>752</v>
      </c>
      <c r="E237" s="15" t="s">
        <v>51</v>
      </c>
      <c r="F237" s="16">
        <f>SUM(Y236:Y236)</f>
        <v>8.5000000000000006E-2</v>
      </c>
      <c r="G237" s="16"/>
      <c r="H237" s="16"/>
      <c r="I237" s="16"/>
      <c r="J237" s="16"/>
      <c r="K237" s="16">
        <f>ROUND(F237*공량설정_일위대가!B144/100, 공량설정_일위대가!C145)</f>
        <v>8.5000000000000006E-2</v>
      </c>
      <c r="L237" s="15" t="s">
        <v>51</v>
      </c>
      <c r="M237" s="16"/>
      <c r="N237" s="16"/>
      <c r="O237" s="16" t="s">
        <v>1862</v>
      </c>
      <c r="P237" s="15" t="s">
        <v>51</v>
      </c>
      <c r="Q237" s="1" t="s">
        <v>417</v>
      </c>
      <c r="R237" s="1" t="s">
        <v>51</v>
      </c>
      <c r="T237" s="1" t="s">
        <v>1296</v>
      </c>
    </row>
    <row r="238" spans="1:25" ht="30" customHeight="1" x14ac:dyDescent="0.3">
      <c r="A238" s="40" t="s">
        <v>2125</v>
      </c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1:25" ht="30" customHeight="1" x14ac:dyDescent="0.3">
      <c r="A239" s="15" t="s">
        <v>1300</v>
      </c>
      <c r="B239" s="15" t="s">
        <v>1286</v>
      </c>
      <c r="C239" s="15" t="s">
        <v>1299</v>
      </c>
      <c r="D239" s="15" t="s">
        <v>58</v>
      </c>
      <c r="E239" s="15" t="s">
        <v>2092</v>
      </c>
      <c r="F239" s="16">
        <v>1</v>
      </c>
      <c r="G239" s="16"/>
      <c r="H239" s="16">
        <v>0</v>
      </c>
      <c r="I239" s="16"/>
      <c r="J239" s="16"/>
      <c r="K239" s="16">
        <v>1</v>
      </c>
      <c r="L239" s="15" t="s">
        <v>769</v>
      </c>
      <c r="M239" s="16">
        <f>0.085*(H239+100)/100*(I239+100)/100*(J239+100)/100</f>
        <v>8.5000000000000006E-2</v>
      </c>
      <c r="N239" s="16">
        <f>F239*M239</f>
        <v>8.5000000000000006E-2</v>
      </c>
      <c r="O239" s="15" t="s">
        <v>1862</v>
      </c>
      <c r="P239" s="15" t="s">
        <v>2123</v>
      </c>
      <c r="Q239" s="1" t="s">
        <v>421</v>
      </c>
      <c r="R239" s="1" t="s">
        <v>770</v>
      </c>
      <c r="S239">
        <v>8.5000000000000006E-2</v>
      </c>
      <c r="T239" s="1" t="s">
        <v>1301</v>
      </c>
      <c r="Y239">
        <f>N239</f>
        <v>8.5000000000000006E-2</v>
      </c>
    </row>
    <row r="240" spans="1:25" ht="30" customHeight="1" x14ac:dyDescent="0.3">
      <c r="A240" s="15" t="s">
        <v>770</v>
      </c>
      <c r="B240" s="15" t="s">
        <v>769</v>
      </c>
      <c r="C240" s="15" t="s">
        <v>751</v>
      </c>
      <c r="D240" s="15" t="s">
        <v>752</v>
      </c>
      <c r="E240" s="15" t="s">
        <v>51</v>
      </c>
      <c r="F240" s="16">
        <f>SUM(Y239:Y239)</f>
        <v>8.5000000000000006E-2</v>
      </c>
      <c r="G240" s="16"/>
      <c r="H240" s="16"/>
      <c r="I240" s="16"/>
      <c r="J240" s="16"/>
      <c r="K240" s="16">
        <f>ROUND(F240*공량설정_일위대가!B146/100, 공량설정_일위대가!C147)</f>
        <v>8.5000000000000006E-2</v>
      </c>
      <c r="L240" s="15" t="s">
        <v>51</v>
      </c>
      <c r="M240" s="16"/>
      <c r="N240" s="16"/>
      <c r="O240" s="16" t="s">
        <v>1862</v>
      </c>
      <c r="P240" s="15" t="s">
        <v>51</v>
      </c>
      <c r="Q240" s="1" t="s">
        <v>421</v>
      </c>
      <c r="R240" s="1" t="s">
        <v>51</v>
      </c>
      <c r="T240" s="1" t="s">
        <v>1302</v>
      </c>
    </row>
    <row r="241" spans="1:25" ht="30" customHeight="1" x14ac:dyDescent="0.3">
      <c r="A241" s="40" t="s">
        <v>2126</v>
      </c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1:25" ht="30" customHeight="1" x14ac:dyDescent="0.3">
      <c r="A242" s="15" t="s">
        <v>1305</v>
      </c>
      <c r="B242" s="15" t="s">
        <v>423</v>
      </c>
      <c r="C242" s="15" t="s">
        <v>51</v>
      </c>
      <c r="D242" s="15" t="s">
        <v>58</v>
      </c>
      <c r="E242" s="15" t="s">
        <v>2092</v>
      </c>
      <c r="F242" s="16">
        <v>1</v>
      </c>
      <c r="G242" s="16">
        <v>0</v>
      </c>
      <c r="H242" s="16"/>
      <c r="I242" s="16"/>
      <c r="J242" s="16"/>
      <c r="K242" s="16">
        <v>1</v>
      </c>
      <c r="L242" s="15" t="s">
        <v>769</v>
      </c>
      <c r="M242" s="16">
        <f>0.085*(H242+100)/100*(I242+100)/100*(J242+100)/100</f>
        <v>8.5000000000000006E-2</v>
      </c>
      <c r="N242" s="16">
        <f>F242*M242</f>
        <v>8.5000000000000006E-2</v>
      </c>
      <c r="O242" s="15" t="s">
        <v>1862</v>
      </c>
      <c r="P242" s="15" t="s">
        <v>2123</v>
      </c>
      <c r="Q242" s="1" t="s">
        <v>426</v>
      </c>
      <c r="R242" s="1" t="s">
        <v>770</v>
      </c>
      <c r="S242">
        <v>8.5000000000000006E-2</v>
      </c>
      <c r="T242" s="1" t="s">
        <v>1306</v>
      </c>
      <c r="Y242">
        <f>N242</f>
        <v>8.5000000000000006E-2</v>
      </c>
    </row>
    <row r="243" spans="1:25" ht="30" customHeight="1" x14ac:dyDescent="0.3">
      <c r="A243" s="15" t="s">
        <v>770</v>
      </c>
      <c r="B243" s="15" t="s">
        <v>769</v>
      </c>
      <c r="C243" s="15" t="s">
        <v>751</v>
      </c>
      <c r="D243" s="15" t="s">
        <v>752</v>
      </c>
      <c r="E243" s="15" t="s">
        <v>51</v>
      </c>
      <c r="F243" s="16">
        <f>SUM(Y242:Y242)</f>
        <v>8.5000000000000006E-2</v>
      </c>
      <c r="G243" s="16"/>
      <c r="H243" s="16"/>
      <c r="I243" s="16"/>
      <c r="J243" s="16"/>
      <c r="K243" s="16">
        <f>ROUND(F243*공량설정_일위대가!B148/100, 공량설정_일위대가!C149)</f>
        <v>8.5000000000000006E-2</v>
      </c>
      <c r="L243" s="15" t="s">
        <v>51</v>
      </c>
      <c r="M243" s="16"/>
      <c r="N243" s="16"/>
      <c r="O243" s="16" t="s">
        <v>1862</v>
      </c>
      <c r="P243" s="15" t="s">
        <v>51</v>
      </c>
      <c r="Q243" s="1" t="s">
        <v>426</v>
      </c>
      <c r="R243" s="1" t="s">
        <v>51</v>
      </c>
      <c r="T243" s="1" t="s">
        <v>1307</v>
      </c>
    </row>
    <row r="244" spans="1:25" ht="30" customHeight="1" x14ac:dyDescent="0.3">
      <c r="A244" s="40" t="s">
        <v>2127</v>
      </c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1:25" ht="30" customHeight="1" x14ac:dyDescent="0.3">
      <c r="A245" s="15" t="s">
        <v>1311</v>
      </c>
      <c r="B245" s="15" t="s">
        <v>308</v>
      </c>
      <c r="C245" s="15" t="s">
        <v>1310</v>
      </c>
      <c r="D245" s="15" t="s">
        <v>58</v>
      </c>
      <c r="E245" s="15" t="s">
        <v>2092</v>
      </c>
      <c r="F245" s="16">
        <v>1</v>
      </c>
      <c r="G245" s="16"/>
      <c r="H245" s="16">
        <v>0</v>
      </c>
      <c r="I245" s="16"/>
      <c r="J245" s="16"/>
      <c r="K245" s="16">
        <v>1</v>
      </c>
      <c r="L245" s="15" t="s">
        <v>769</v>
      </c>
      <c r="M245" s="16">
        <f>0.065*(H245+100)/100*(I245+100)/100*(J245+100)/100</f>
        <v>6.5000000000000002E-2</v>
      </c>
      <c r="N245" s="16">
        <f>F245*M245</f>
        <v>6.5000000000000002E-2</v>
      </c>
      <c r="O245" s="15" t="s">
        <v>1862</v>
      </c>
      <c r="P245" s="15" t="s">
        <v>2093</v>
      </c>
      <c r="Q245" s="1" t="s">
        <v>430</v>
      </c>
      <c r="R245" s="1" t="s">
        <v>770</v>
      </c>
      <c r="S245">
        <v>6.5000000000000002E-2</v>
      </c>
      <c r="T245" s="1" t="s">
        <v>1312</v>
      </c>
      <c r="Y245">
        <f>N245</f>
        <v>6.5000000000000002E-2</v>
      </c>
    </row>
    <row r="246" spans="1:25" ht="30" customHeight="1" x14ac:dyDescent="0.3">
      <c r="A246" s="15" t="s">
        <v>770</v>
      </c>
      <c r="B246" s="15" t="s">
        <v>769</v>
      </c>
      <c r="C246" s="15" t="s">
        <v>751</v>
      </c>
      <c r="D246" s="15" t="s">
        <v>752</v>
      </c>
      <c r="E246" s="15" t="s">
        <v>51</v>
      </c>
      <c r="F246" s="16">
        <f>SUM(Y245:Y245)</f>
        <v>6.5000000000000002E-2</v>
      </c>
      <c r="G246" s="16"/>
      <c r="H246" s="16"/>
      <c r="I246" s="16"/>
      <c r="J246" s="16"/>
      <c r="K246" s="16">
        <f>ROUND(F246*공량설정_일위대가!B150/100, 공량설정_일위대가!C151)</f>
        <v>6.5000000000000002E-2</v>
      </c>
      <c r="L246" s="15" t="s">
        <v>51</v>
      </c>
      <c r="M246" s="16"/>
      <c r="N246" s="16"/>
      <c r="O246" s="16" t="s">
        <v>1862</v>
      </c>
      <c r="P246" s="15" t="s">
        <v>51</v>
      </c>
      <c r="Q246" s="1" t="s">
        <v>430</v>
      </c>
      <c r="R246" s="1" t="s">
        <v>51</v>
      </c>
      <c r="T246" s="1" t="s">
        <v>1313</v>
      </c>
    </row>
    <row r="247" spans="1:25" ht="30" customHeight="1" x14ac:dyDescent="0.3">
      <c r="A247" s="40" t="s">
        <v>2128</v>
      </c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1:25" ht="30" customHeight="1" x14ac:dyDescent="0.3">
      <c r="A248" s="15" t="s">
        <v>1317</v>
      </c>
      <c r="B248" s="15" t="s">
        <v>1155</v>
      </c>
      <c r="C248" s="15" t="s">
        <v>1316</v>
      </c>
      <c r="D248" s="15" t="s">
        <v>65</v>
      </c>
      <c r="E248" s="15" t="s">
        <v>2018</v>
      </c>
      <c r="F248" s="16">
        <v>1</v>
      </c>
      <c r="G248" s="16"/>
      <c r="H248" s="16">
        <v>-20</v>
      </c>
      <c r="I248" s="16">
        <v>-10</v>
      </c>
      <c r="J248" s="16"/>
      <c r="K248" s="16">
        <v>1</v>
      </c>
      <c r="L248" s="15" t="s">
        <v>769</v>
      </c>
      <c r="M248" s="16">
        <f>0.06*(H248+100)/100*(I248+100)/100*(J248+100)/100</f>
        <v>4.3200000000000002E-2</v>
      </c>
      <c r="N248" s="16">
        <f>F248*M248</f>
        <v>4.3200000000000002E-2</v>
      </c>
      <c r="O248" s="15" t="s">
        <v>1862</v>
      </c>
      <c r="P248" s="15" t="s">
        <v>2129</v>
      </c>
      <c r="Q248" s="1" t="s">
        <v>458</v>
      </c>
      <c r="R248" s="1" t="s">
        <v>770</v>
      </c>
      <c r="S248">
        <v>0.06</v>
      </c>
      <c r="T248" s="1" t="s">
        <v>1318</v>
      </c>
      <c r="Y248">
        <f>N248</f>
        <v>4.3200000000000002E-2</v>
      </c>
    </row>
    <row r="249" spans="1:25" ht="30" customHeight="1" x14ac:dyDescent="0.3">
      <c r="A249" s="15" t="s">
        <v>1317</v>
      </c>
      <c r="B249" s="15" t="s">
        <v>1155</v>
      </c>
      <c r="C249" s="15" t="s">
        <v>1316</v>
      </c>
      <c r="D249" s="15" t="s">
        <v>65</v>
      </c>
      <c r="E249" s="15" t="s">
        <v>2018</v>
      </c>
      <c r="F249" s="16">
        <v>0</v>
      </c>
      <c r="G249" s="16"/>
      <c r="H249" s="16">
        <v>0</v>
      </c>
      <c r="I249" s="16"/>
      <c r="J249" s="16"/>
      <c r="K249" s="16">
        <v>0.1</v>
      </c>
      <c r="L249" s="15" t="s">
        <v>769</v>
      </c>
      <c r="M249" s="16">
        <f>0.06*(H249+100)/100*(I249+100)/100*(J249+100)/100</f>
        <v>0.06</v>
      </c>
      <c r="N249" s="16">
        <f>F249*M249</f>
        <v>0</v>
      </c>
      <c r="O249" s="15" t="s">
        <v>1862</v>
      </c>
      <c r="P249" s="15" t="s">
        <v>2020</v>
      </c>
      <c r="Q249" s="1" t="s">
        <v>458</v>
      </c>
      <c r="R249" s="1" t="s">
        <v>770</v>
      </c>
      <c r="S249">
        <v>0.06</v>
      </c>
      <c r="T249" s="1" t="s">
        <v>1318</v>
      </c>
      <c r="Y249">
        <f>N249</f>
        <v>0</v>
      </c>
    </row>
    <row r="250" spans="1:25" ht="30" customHeight="1" x14ac:dyDescent="0.3">
      <c r="A250" s="15" t="s">
        <v>770</v>
      </c>
      <c r="B250" s="15" t="s">
        <v>769</v>
      </c>
      <c r="C250" s="15" t="s">
        <v>751</v>
      </c>
      <c r="D250" s="15" t="s">
        <v>752</v>
      </c>
      <c r="E250" s="15" t="s">
        <v>51</v>
      </c>
      <c r="F250" s="16">
        <f>SUM(Y248:Y249)</f>
        <v>4.3200000000000002E-2</v>
      </c>
      <c r="G250" s="16"/>
      <c r="H250" s="16"/>
      <c r="I250" s="16"/>
      <c r="J250" s="16"/>
      <c r="K250" s="16">
        <f>ROUND(F250*공량설정_일위대가!B152/100, 공량설정_일위대가!C153)</f>
        <v>4.3200000000000002E-2</v>
      </c>
      <c r="L250" s="15" t="s">
        <v>51</v>
      </c>
      <c r="M250" s="16"/>
      <c r="N250" s="16"/>
      <c r="O250" s="16" t="s">
        <v>1862</v>
      </c>
      <c r="P250" s="15" t="s">
        <v>51</v>
      </c>
      <c r="Q250" s="1" t="s">
        <v>458</v>
      </c>
      <c r="R250" s="1" t="s">
        <v>51</v>
      </c>
      <c r="T250" s="1" t="s">
        <v>1321</v>
      </c>
    </row>
    <row r="251" spans="1:25" ht="30" customHeight="1" x14ac:dyDescent="0.3">
      <c r="A251" s="40" t="s">
        <v>2130</v>
      </c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1:25" ht="30" customHeight="1" x14ac:dyDescent="0.3">
      <c r="A252" s="15" t="s">
        <v>1180</v>
      </c>
      <c r="B252" s="15" t="s">
        <v>1178</v>
      </c>
      <c r="C252" s="15" t="s">
        <v>1179</v>
      </c>
      <c r="D252" s="15" t="s">
        <v>65</v>
      </c>
      <c r="E252" s="15" t="s">
        <v>2049</v>
      </c>
      <c r="F252" s="16">
        <v>1</v>
      </c>
      <c r="G252" s="16">
        <v>0</v>
      </c>
      <c r="H252" s="16">
        <v>-17</v>
      </c>
      <c r="I252" s="16"/>
      <c r="J252" s="16"/>
      <c r="K252" s="16">
        <v>1</v>
      </c>
      <c r="L252" s="15" t="s">
        <v>769</v>
      </c>
      <c r="M252" s="16">
        <f>0.01*(H252+100)/100*(I252+100)/100*(J252+100)/100</f>
        <v>8.3000000000000001E-3</v>
      </c>
      <c r="N252" s="16">
        <f>F252*M252</f>
        <v>8.3000000000000001E-3</v>
      </c>
      <c r="O252" s="15" t="s">
        <v>1862</v>
      </c>
      <c r="P252" s="15" t="s">
        <v>2131</v>
      </c>
      <c r="Q252" s="1" t="s">
        <v>468</v>
      </c>
      <c r="R252" s="1" t="s">
        <v>770</v>
      </c>
      <c r="S252">
        <v>0.01</v>
      </c>
      <c r="T252" s="1" t="s">
        <v>1324</v>
      </c>
      <c r="Y252">
        <f>N252</f>
        <v>8.3000000000000001E-3</v>
      </c>
    </row>
    <row r="253" spans="1:25" ht="30" customHeight="1" x14ac:dyDescent="0.3">
      <c r="A253" s="15" t="s">
        <v>1180</v>
      </c>
      <c r="B253" s="15" t="s">
        <v>1178</v>
      </c>
      <c r="C253" s="15" t="s">
        <v>1179</v>
      </c>
      <c r="D253" s="15" t="s">
        <v>65</v>
      </c>
      <c r="E253" s="15" t="s">
        <v>2049</v>
      </c>
      <c r="F253" s="16">
        <v>0</v>
      </c>
      <c r="G253" s="16">
        <v>0</v>
      </c>
      <c r="H253" s="16"/>
      <c r="I253" s="16"/>
      <c r="J253" s="16"/>
      <c r="K253" s="16">
        <v>0.1</v>
      </c>
      <c r="L253" s="15" t="s">
        <v>769</v>
      </c>
      <c r="M253" s="16">
        <f>0.01*(H253+100)/100*(I253+100)/100*(J253+100)/100</f>
        <v>0.01</v>
      </c>
      <c r="N253" s="16">
        <f>F253*M253</f>
        <v>0</v>
      </c>
      <c r="O253" s="15" t="s">
        <v>1862</v>
      </c>
      <c r="P253" s="15" t="s">
        <v>2088</v>
      </c>
      <c r="Q253" s="1" t="s">
        <v>468</v>
      </c>
      <c r="R253" s="1" t="s">
        <v>770</v>
      </c>
      <c r="S253">
        <v>0.01</v>
      </c>
      <c r="T253" s="1" t="s">
        <v>1324</v>
      </c>
      <c r="Y253">
        <f>N253</f>
        <v>0</v>
      </c>
    </row>
    <row r="254" spans="1:25" ht="30" customHeight="1" x14ac:dyDescent="0.3">
      <c r="A254" s="15" t="s">
        <v>770</v>
      </c>
      <c r="B254" s="15" t="s">
        <v>769</v>
      </c>
      <c r="C254" s="15" t="s">
        <v>751</v>
      </c>
      <c r="D254" s="15" t="s">
        <v>752</v>
      </c>
      <c r="E254" s="15" t="s">
        <v>51</v>
      </c>
      <c r="F254" s="16">
        <f>SUM(Y252:Y253)</f>
        <v>8.3000000000000001E-3</v>
      </c>
      <c r="G254" s="16"/>
      <c r="H254" s="16"/>
      <c r="I254" s="16"/>
      <c r="J254" s="16"/>
      <c r="K254" s="16">
        <f>ROUND(F254*공량설정_일위대가!B154/100, 공량설정_일위대가!C155)</f>
        <v>8.3000000000000001E-3</v>
      </c>
      <c r="L254" s="15" t="s">
        <v>51</v>
      </c>
      <c r="M254" s="16"/>
      <c r="N254" s="16"/>
      <c r="O254" s="16" t="s">
        <v>1862</v>
      </c>
      <c r="P254" s="15" t="s">
        <v>51</v>
      </c>
      <c r="Q254" s="1" t="s">
        <v>468</v>
      </c>
      <c r="R254" s="1" t="s">
        <v>51</v>
      </c>
      <c r="T254" s="1" t="s">
        <v>1326</v>
      </c>
    </row>
    <row r="255" spans="1:25" ht="30" customHeight="1" x14ac:dyDescent="0.3">
      <c r="A255" s="40" t="s">
        <v>2132</v>
      </c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1:25" ht="30" customHeight="1" x14ac:dyDescent="0.3">
      <c r="A256" s="15" t="s">
        <v>1180</v>
      </c>
      <c r="B256" s="15" t="s">
        <v>1178</v>
      </c>
      <c r="C256" s="15" t="s">
        <v>1179</v>
      </c>
      <c r="D256" s="15" t="s">
        <v>65</v>
      </c>
      <c r="E256" s="15" t="s">
        <v>2049</v>
      </c>
      <c r="F256" s="16">
        <v>1</v>
      </c>
      <c r="G256" s="16">
        <v>0</v>
      </c>
      <c r="H256" s="16">
        <v>-17</v>
      </c>
      <c r="I256" s="16"/>
      <c r="J256" s="16"/>
      <c r="K256" s="16">
        <v>1</v>
      </c>
      <c r="L256" s="15" t="s">
        <v>769</v>
      </c>
      <c r="M256" s="16">
        <f>0.01*(H256+100)/100*(I256+100)/100*(J256+100)/100</f>
        <v>8.3000000000000001E-3</v>
      </c>
      <c r="N256" s="16">
        <f>F256*M256</f>
        <v>8.3000000000000001E-3</v>
      </c>
      <c r="O256" s="15" t="s">
        <v>1862</v>
      </c>
      <c r="P256" s="15" t="s">
        <v>2131</v>
      </c>
      <c r="Q256" s="1" t="s">
        <v>472</v>
      </c>
      <c r="R256" s="1" t="s">
        <v>770</v>
      </c>
      <c r="S256">
        <v>0.01</v>
      </c>
      <c r="T256" s="1" t="s">
        <v>1329</v>
      </c>
      <c r="Y256">
        <f>N256</f>
        <v>8.3000000000000001E-3</v>
      </c>
    </row>
    <row r="257" spans="1:25" ht="30" customHeight="1" x14ac:dyDescent="0.3">
      <c r="A257" s="15" t="s">
        <v>1180</v>
      </c>
      <c r="B257" s="15" t="s">
        <v>1178</v>
      </c>
      <c r="C257" s="15" t="s">
        <v>1179</v>
      </c>
      <c r="D257" s="15" t="s">
        <v>65</v>
      </c>
      <c r="E257" s="15" t="s">
        <v>2049</v>
      </c>
      <c r="F257" s="16">
        <v>0</v>
      </c>
      <c r="G257" s="16">
        <v>0</v>
      </c>
      <c r="H257" s="16"/>
      <c r="I257" s="16"/>
      <c r="J257" s="16"/>
      <c r="K257" s="16">
        <v>0.1</v>
      </c>
      <c r="L257" s="15" t="s">
        <v>769</v>
      </c>
      <c r="M257" s="16">
        <f>0.01*(H257+100)/100*(I257+100)/100*(J257+100)/100</f>
        <v>0.01</v>
      </c>
      <c r="N257" s="16">
        <f>F257*M257</f>
        <v>0</v>
      </c>
      <c r="O257" s="15" t="s">
        <v>1862</v>
      </c>
      <c r="P257" s="15" t="s">
        <v>2088</v>
      </c>
      <c r="Q257" s="1" t="s">
        <v>472</v>
      </c>
      <c r="R257" s="1" t="s">
        <v>770</v>
      </c>
      <c r="S257">
        <v>0.01</v>
      </c>
      <c r="T257" s="1" t="s">
        <v>1329</v>
      </c>
      <c r="Y257">
        <f>N257</f>
        <v>0</v>
      </c>
    </row>
    <row r="258" spans="1:25" ht="30" customHeight="1" x14ac:dyDescent="0.3">
      <c r="A258" s="15" t="s">
        <v>770</v>
      </c>
      <c r="B258" s="15" t="s">
        <v>769</v>
      </c>
      <c r="C258" s="15" t="s">
        <v>751</v>
      </c>
      <c r="D258" s="15" t="s">
        <v>752</v>
      </c>
      <c r="E258" s="15" t="s">
        <v>51</v>
      </c>
      <c r="F258" s="16">
        <f>SUM(Y256:Y257)</f>
        <v>8.3000000000000001E-3</v>
      </c>
      <c r="G258" s="16"/>
      <c r="H258" s="16"/>
      <c r="I258" s="16"/>
      <c r="J258" s="16"/>
      <c r="K258" s="16">
        <f>ROUND(F258*공량설정_일위대가!B156/100, 공량설정_일위대가!C157)</f>
        <v>8.3000000000000001E-3</v>
      </c>
      <c r="L258" s="15" t="s">
        <v>51</v>
      </c>
      <c r="M258" s="16"/>
      <c r="N258" s="16"/>
      <c r="O258" s="16" t="s">
        <v>1862</v>
      </c>
      <c r="P258" s="15" t="s">
        <v>51</v>
      </c>
      <c r="Q258" s="1" t="s">
        <v>472</v>
      </c>
      <c r="R258" s="1" t="s">
        <v>51</v>
      </c>
      <c r="T258" s="1" t="s">
        <v>1331</v>
      </c>
    </row>
    <row r="259" spans="1:25" ht="30" customHeight="1" x14ac:dyDescent="0.3">
      <c r="A259" s="40" t="s">
        <v>2133</v>
      </c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1:25" ht="30" customHeight="1" x14ac:dyDescent="0.3">
      <c r="A260" s="15" t="s">
        <v>1334</v>
      </c>
      <c r="B260" s="15" t="s">
        <v>477</v>
      </c>
      <c r="C260" s="15" t="s">
        <v>51</v>
      </c>
      <c r="D260" s="15" t="s">
        <v>1260</v>
      </c>
      <c r="E260" s="15" t="s">
        <v>2113</v>
      </c>
      <c r="F260" s="16">
        <v>1</v>
      </c>
      <c r="G260" s="16">
        <v>0</v>
      </c>
      <c r="H260" s="16"/>
      <c r="I260" s="16"/>
      <c r="J260" s="16"/>
      <c r="K260" s="16">
        <v>1</v>
      </c>
      <c r="L260" s="15" t="s">
        <v>769</v>
      </c>
      <c r="M260" s="16">
        <f>0.117*(H260+100)/100*(I260+100)/100*(J260+100)/100</f>
        <v>0.11700000000000001</v>
      </c>
      <c r="N260" s="16">
        <f>F260*M260</f>
        <v>0.11700000000000001</v>
      </c>
      <c r="O260" s="15" t="s">
        <v>1862</v>
      </c>
      <c r="P260" s="15" t="s">
        <v>2120</v>
      </c>
      <c r="Q260" s="1" t="s">
        <v>480</v>
      </c>
      <c r="R260" s="1" t="s">
        <v>770</v>
      </c>
      <c r="S260">
        <v>0.11700000000000001</v>
      </c>
      <c r="T260" s="1" t="s">
        <v>1335</v>
      </c>
      <c r="Y260">
        <f>N260</f>
        <v>0.11700000000000001</v>
      </c>
    </row>
    <row r="261" spans="1:25" ht="30" customHeight="1" x14ac:dyDescent="0.3">
      <c r="A261" s="15" t="s">
        <v>770</v>
      </c>
      <c r="B261" s="15" t="s">
        <v>769</v>
      </c>
      <c r="C261" s="15" t="s">
        <v>751</v>
      </c>
      <c r="D261" s="15" t="s">
        <v>752</v>
      </c>
      <c r="E261" s="15" t="s">
        <v>51</v>
      </c>
      <c r="F261" s="16">
        <f>SUM(Y260:Y260)</f>
        <v>0.11700000000000001</v>
      </c>
      <c r="G261" s="16"/>
      <c r="H261" s="16"/>
      <c r="I261" s="16"/>
      <c r="J261" s="16"/>
      <c r="K261" s="16">
        <f>ROUND(F261*공량설정_일위대가!B158/100, 공량설정_일위대가!C159)</f>
        <v>0.11700000000000001</v>
      </c>
      <c r="L261" s="15" t="s">
        <v>51</v>
      </c>
      <c r="M261" s="16"/>
      <c r="N261" s="16"/>
      <c r="O261" s="16" t="s">
        <v>1862</v>
      </c>
      <c r="P261" s="15" t="s">
        <v>51</v>
      </c>
      <c r="Q261" s="1" t="s">
        <v>480</v>
      </c>
      <c r="R261" s="1" t="s">
        <v>51</v>
      </c>
      <c r="T261" s="1" t="s">
        <v>1336</v>
      </c>
    </row>
    <row r="262" spans="1:25" ht="30" customHeight="1" x14ac:dyDescent="0.3">
      <c r="A262" s="40" t="s">
        <v>2134</v>
      </c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1:25" ht="30" customHeight="1" x14ac:dyDescent="0.3">
      <c r="A263" s="15" t="s">
        <v>1339</v>
      </c>
      <c r="B263" s="15" t="s">
        <v>740</v>
      </c>
      <c r="C263" s="15" t="s">
        <v>487</v>
      </c>
      <c r="D263" s="15" t="s">
        <v>65</v>
      </c>
      <c r="E263" s="15" t="s">
        <v>1988</v>
      </c>
      <c r="F263" s="16">
        <v>1</v>
      </c>
      <c r="G263" s="16"/>
      <c r="H263" s="16">
        <v>0</v>
      </c>
      <c r="I263" s="16"/>
      <c r="J263" s="16"/>
      <c r="K263" s="16">
        <v>1</v>
      </c>
      <c r="L263" s="15" t="s">
        <v>750</v>
      </c>
      <c r="M263" s="16">
        <f>0.014*(H263+100)/100*(I263+100)/100*(J263+100)/100</f>
        <v>1.4000000000000002E-2</v>
      </c>
      <c r="N263" s="16">
        <f>F263*M263</f>
        <v>1.4000000000000002E-2</v>
      </c>
      <c r="O263" s="15" t="s">
        <v>1854</v>
      </c>
      <c r="P263" s="15" t="s">
        <v>2135</v>
      </c>
      <c r="Q263" s="1" t="s">
        <v>489</v>
      </c>
      <c r="R263" s="1" t="s">
        <v>753</v>
      </c>
      <c r="S263">
        <v>1.4E-2</v>
      </c>
      <c r="T263" s="1" t="s">
        <v>1340</v>
      </c>
      <c r="V263">
        <f>N263</f>
        <v>1.4000000000000002E-2</v>
      </c>
    </row>
    <row r="264" spans="1:25" ht="30" customHeight="1" x14ac:dyDescent="0.3">
      <c r="A264" s="15" t="s">
        <v>51</v>
      </c>
      <c r="B264" s="15" t="s">
        <v>51</v>
      </c>
      <c r="C264" s="15" t="s">
        <v>51</v>
      </c>
      <c r="D264" s="15" t="s">
        <v>51</v>
      </c>
      <c r="E264" s="15" t="s">
        <v>51</v>
      </c>
      <c r="F264" s="16"/>
      <c r="G264" s="16"/>
      <c r="H264" s="16"/>
      <c r="I264" s="16"/>
      <c r="J264" s="16"/>
      <c r="K264" s="16"/>
      <c r="L264" s="15" t="s">
        <v>755</v>
      </c>
      <c r="M264" s="16">
        <f>0.006*(H263+100)/100*(I263+100)/100*(J263+100)/100</f>
        <v>6.0000000000000001E-3</v>
      </c>
      <c r="N264" s="16">
        <f>F263*M264</f>
        <v>6.0000000000000001E-3</v>
      </c>
      <c r="O264" s="15" t="s">
        <v>1865</v>
      </c>
      <c r="P264" s="15" t="s">
        <v>2136</v>
      </c>
      <c r="Q264" s="1" t="s">
        <v>489</v>
      </c>
      <c r="R264" s="1" t="s">
        <v>756</v>
      </c>
      <c r="S264">
        <v>6.0000000000000001E-3</v>
      </c>
      <c r="T264" s="1" t="s">
        <v>1340</v>
      </c>
      <c r="X264">
        <f>N264</f>
        <v>6.0000000000000001E-3</v>
      </c>
    </row>
    <row r="265" spans="1:25" ht="30" customHeight="1" x14ac:dyDescent="0.3">
      <c r="A265" s="15" t="s">
        <v>1339</v>
      </c>
      <c r="B265" s="15" t="s">
        <v>740</v>
      </c>
      <c r="C265" s="15" t="s">
        <v>487</v>
      </c>
      <c r="D265" s="15" t="s">
        <v>65</v>
      </c>
      <c r="E265" s="15" t="s">
        <v>1988</v>
      </c>
      <c r="F265" s="16">
        <v>0</v>
      </c>
      <c r="G265" s="16"/>
      <c r="H265" s="16">
        <v>0</v>
      </c>
      <c r="I265" s="16"/>
      <c r="J265" s="16"/>
      <c r="K265" s="16">
        <v>0.03</v>
      </c>
      <c r="L265" s="15" t="s">
        <v>750</v>
      </c>
      <c r="M265" s="16">
        <f>0.014*(H265+100)/100*(I265+100)/100*(J265+100)/100</f>
        <v>1.4000000000000002E-2</v>
      </c>
      <c r="N265" s="16">
        <f>F265*M265</f>
        <v>0</v>
      </c>
      <c r="O265" s="15" t="s">
        <v>1854</v>
      </c>
      <c r="P265" s="15" t="s">
        <v>2135</v>
      </c>
      <c r="Q265" s="1" t="s">
        <v>489</v>
      </c>
      <c r="R265" s="1" t="s">
        <v>753</v>
      </c>
      <c r="S265">
        <v>1.4E-2</v>
      </c>
      <c r="T265" s="1" t="s">
        <v>1340</v>
      </c>
      <c r="V265">
        <f>N265</f>
        <v>0</v>
      </c>
    </row>
    <row r="266" spans="1:25" ht="30" customHeight="1" x14ac:dyDescent="0.3">
      <c r="A266" s="15" t="s">
        <v>51</v>
      </c>
      <c r="B266" s="15" t="s">
        <v>51</v>
      </c>
      <c r="C266" s="15" t="s">
        <v>51</v>
      </c>
      <c r="D266" s="15" t="s">
        <v>51</v>
      </c>
      <c r="E266" s="15" t="s">
        <v>51</v>
      </c>
      <c r="F266" s="16"/>
      <c r="G266" s="16"/>
      <c r="H266" s="16"/>
      <c r="I266" s="16"/>
      <c r="J266" s="16"/>
      <c r="K266" s="16"/>
      <c r="L266" s="15" t="s">
        <v>755</v>
      </c>
      <c r="M266" s="16">
        <f>0.006*(H265+100)/100*(I265+100)/100*(J265+100)/100</f>
        <v>6.0000000000000001E-3</v>
      </c>
      <c r="N266" s="16">
        <f>F265*M266</f>
        <v>0</v>
      </c>
      <c r="O266" s="15" t="s">
        <v>1865</v>
      </c>
      <c r="P266" s="15" t="s">
        <v>2136</v>
      </c>
      <c r="Q266" s="1" t="s">
        <v>489</v>
      </c>
      <c r="R266" s="1" t="s">
        <v>756</v>
      </c>
      <c r="S266">
        <v>6.0000000000000001E-3</v>
      </c>
      <c r="T266" s="1" t="s">
        <v>1340</v>
      </c>
      <c r="X266">
        <f>N266</f>
        <v>0</v>
      </c>
    </row>
    <row r="267" spans="1:25" ht="30" customHeight="1" x14ac:dyDescent="0.3">
      <c r="A267" s="15" t="s">
        <v>753</v>
      </c>
      <c r="B267" s="15" t="s">
        <v>750</v>
      </c>
      <c r="C267" s="15" t="s">
        <v>751</v>
      </c>
      <c r="D267" s="15" t="s">
        <v>752</v>
      </c>
      <c r="E267" s="15" t="s">
        <v>51</v>
      </c>
      <c r="F267" s="16">
        <f>SUM(V263:V266)</f>
        <v>1.4000000000000002E-2</v>
      </c>
      <c r="G267" s="16"/>
      <c r="H267" s="16"/>
      <c r="I267" s="16"/>
      <c r="J267" s="16"/>
      <c r="K267" s="16">
        <f>ROUND(F267*공량설정_일위대가!B160/100, 공량설정_일위대가!C161)</f>
        <v>1.4E-2</v>
      </c>
      <c r="L267" s="15" t="s">
        <v>51</v>
      </c>
      <c r="M267" s="16"/>
      <c r="N267" s="16"/>
      <c r="O267" s="16" t="s">
        <v>1854</v>
      </c>
      <c r="P267" s="15" t="s">
        <v>51</v>
      </c>
      <c r="Q267" s="1" t="s">
        <v>489</v>
      </c>
      <c r="R267" s="1" t="s">
        <v>51</v>
      </c>
      <c r="T267" s="1" t="s">
        <v>1343</v>
      </c>
    </row>
    <row r="268" spans="1:25" ht="30" customHeight="1" x14ac:dyDescent="0.3">
      <c r="A268" s="15" t="s">
        <v>756</v>
      </c>
      <c r="B268" s="15" t="s">
        <v>755</v>
      </c>
      <c r="C268" s="15" t="s">
        <v>751</v>
      </c>
      <c r="D268" s="15" t="s">
        <v>752</v>
      </c>
      <c r="E268" s="15" t="s">
        <v>51</v>
      </c>
      <c r="F268" s="16">
        <f>SUM(X263:X266)</f>
        <v>6.0000000000000001E-3</v>
      </c>
      <c r="G268" s="16"/>
      <c r="H268" s="16"/>
      <c r="I268" s="16"/>
      <c r="J268" s="16"/>
      <c r="K268" s="16">
        <f>ROUND(F268*공량설정_일위대가!B160/100, 공량설정_일위대가!C162)</f>
        <v>6.0000000000000001E-3</v>
      </c>
      <c r="L268" s="15" t="s">
        <v>51</v>
      </c>
      <c r="M268" s="16"/>
      <c r="N268" s="16"/>
      <c r="O268" s="16" t="s">
        <v>1865</v>
      </c>
      <c r="P268" s="15" t="s">
        <v>51</v>
      </c>
      <c r="Q268" s="1" t="s">
        <v>489</v>
      </c>
      <c r="R268" s="1" t="s">
        <v>51</v>
      </c>
      <c r="T268" s="1" t="s">
        <v>1344</v>
      </c>
    </row>
    <row r="269" spans="1:25" ht="30" customHeight="1" x14ac:dyDescent="0.3">
      <c r="A269" s="40" t="s">
        <v>2137</v>
      </c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1:25" ht="30" customHeight="1" x14ac:dyDescent="0.3">
      <c r="A270" s="15" t="s">
        <v>1347</v>
      </c>
      <c r="B270" s="15" t="s">
        <v>490</v>
      </c>
      <c r="C270" s="15" t="s">
        <v>51</v>
      </c>
      <c r="D270" s="15" t="s">
        <v>1260</v>
      </c>
      <c r="E270" s="15" t="s">
        <v>2138</v>
      </c>
      <c r="F270" s="16">
        <v>1</v>
      </c>
      <c r="G270" s="16">
        <v>0</v>
      </c>
      <c r="H270" s="16">
        <v>-50</v>
      </c>
      <c r="I270" s="16"/>
      <c r="J270" s="16"/>
      <c r="K270" s="16">
        <v>1</v>
      </c>
      <c r="L270" s="15" t="s">
        <v>769</v>
      </c>
      <c r="M270" s="16">
        <f>0.183*(H270+100)/100*(I270+100)/100*(J270+100)/100</f>
        <v>9.1499999999999998E-2</v>
      </c>
      <c r="N270" s="16">
        <f>F270*M270</f>
        <v>9.1499999999999998E-2</v>
      </c>
      <c r="O270" s="15" t="s">
        <v>1862</v>
      </c>
      <c r="P270" s="15" t="s">
        <v>2139</v>
      </c>
      <c r="Q270" s="1" t="s">
        <v>493</v>
      </c>
      <c r="R270" s="1" t="s">
        <v>770</v>
      </c>
      <c r="S270">
        <v>0.183</v>
      </c>
      <c r="T270" s="1" t="s">
        <v>1348</v>
      </c>
      <c r="Y270">
        <f>N270</f>
        <v>9.1499999999999998E-2</v>
      </c>
    </row>
    <row r="271" spans="1:25" ht="30" customHeight="1" x14ac:dyDescent="0.3">
      <c r="A271" s="15" t="s">
        <v>770</v>
      </c>
      <c r="B271" s="15" t="s">
        <v>769</v>
      </c>
      <c r="C271" s="15" t="s">
        <v>751</v>
      </c>
      <c r="D271" s="15" t="s">
        <v>752</v>
      </c>
      <c r="E271" s="15" t="s">
        <v>51</v>
      </c>
      <c r="F271" s="16">
        <f>SUM(Y270:Y270)</f>
        <v>9.1499999999999998E-2</v>
      </c>
      <c r="G271" s="16"/>
      <c r="H271" s="16"/>
      <c r="I271" s="16"/>
      <c r="J271" s="16"/>
      <c r="K271" s="16">
        <f>ROUND(F271*공량설정_일위대가!B163/100, 공량설정_일위대가!C164)</f>
        <v>9.1499999999999998E-2</v>
      </c>
      <c r="L271" s="15" t="s">
        <v>51</v>
      </c>
      <c r="M271" s="16"/>
      <c r="N271" s="16"/>
      <c r="O271" s="16" t="s">
        <v>1862</v>
      </c>
      <c r="P271" s="15" t="s">
        <v>51</v>
      </c>
      <c r="Q271" s="1" t="s">
        <v>493</v>
      </c>
      <c r="R271" s="1" t="s">
        <v>51</v>
      </c>
      <c r="T271" s="1" t="s">
        <v>1349</v>
      </c>
    </row>
    <row r="272" spans="1:25" ht="30" customHeight="1" x14ac:dyDescent="0.3">
      <c r="A272" s="40" t="s">
        <v>2140</v>
      </c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1:27" ht="30" customHeight="1" x14ac:dyDescent="0.3">
      <c r="A273" s="15" t="s">
        <v>1353</v>
      </c>
      <c r="B273" s="15" t="s">
        <v>1352</v>
      </c>
      <c r="C273" s="15" t="s">
        <v>495</v>
      </c>
      <c r="D273" s="15" t="s">
        <v>1260</v>
      </c>
      <c r="E273" s="15" t="s">
        <v>2141</v>
      </c>
      <c r="F273" s="16">
        <v>1</v>
      </c>
      <c r="G273" s="16">
        <v>0</v>
      </c>
      <c r="H273" s="16">
        <v>-20</v>
      </c>
      <c r="I273" s="16"/>
      <c r="J273" s="16"/>
      <c r="K273" s="16">
        <v>1</v>
      </c>
      <c r="L273" s="15" t="s">
        <v>769</v>
      </c>
      <c r="M273" s="16">
        <f>2.1*(H273+100)/100*(I273+100)/100*(J273+100)/100</f>
        <v>1.68</v>
      </c>
      <c r="N273" s="16">
        <f>F273*M273</f>
        <v>1.68</v>
      </c>
      <c r="O273" s="15" t="s">
        <v>1862</v>
      </c>
      <c r="P273" s="15" t="s">
        <v>2142</v>
      </c>
      <c r="Q273" s="1" t="s">
        <v>498</v>
      </c>
      <c r="R273" s="1" t="s">
        <v>770</v>
      </c>
      <c r="S273">
        <v>2.1</v>
      </c>
      <c r="T273" s="1" t="s">
        <v>1354</v>
      </c>
      <c r="Y273">
        <f>N273</f>
        <v>1.68</v>
      </c>
    </row>
    <row r="274" spans="1:27" ht="30" customHeight="1" x14ac:dyDescent="0.3">
      <c r="A274" s="15" t="s">
        <v>770</v>
      </c>
      <c r="B274" s="15" t="s">
        <v>769</v>
      </c>
      <c r="C274" s="15" t="s">
        <v>751</v>
      </c>
      <c r="D274" s="15" t="s">
        <v>752</v>
      </c>
      <c r="E274" s="15" t="s">
        <v>51</v>
      </c>
      <c r="F274" s="16">
        <f>SUM(Y273:Y273)</f>
        <v>1.68</v>
      </c>
      <c r="G274" s="16"/>
      <c r="H274" s="16"/>
      <c r="I274" s="16"/>
      <c r="J274" s="16"/>
      <c r="K274" s="16">
        <f>ROUND(F274*공량설정_일위대가!B165/100, 공량설정_일위대가!C166)</f>
        <v>1.68</v>
      </c>
      <c r="L274" s="15" t="s">
        <v>51</v>
      </c>
      <c r="M274" s="16"/>
      <c r="N274" s="16"/>
      <c r="O274" s="16" t="s">
        <v>1862</v>
      </c>
      <c r="P274" s="15" t="s">
        <v>51</v>
      </c>
      <c r="Q274" s="1" t="s">
        <v>498</v>
      </c>
      <c r="R274" s="1" t="s">
        <v>51</v>
      </c>
      <c r="T274" s="1" t="s">
        <v>1355</v>
      </c>
    </row>
    <row r="275" spans="1:27" ht="30" customHeight="1" x14ac:dyDescent="0.3">
      <c r="A275" s="40" t="s">
        <v>2143</v>
      </c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1:27" ht="30" customHeight="1" x14ac:dyDescent="0.3">
      <c r="A276" s="15" t="s">
        <v>1358</v>
      </c>
      <c r="B276" s="15" t="s">
        <v>740</v>
      </c>
      <c r="C276" s="15" t="s">
        <v>499</v>
      </c>
      <c r="D276" s="15" t="s">
        <v>65</v>
      </c>
      <c r="E276" s="15" t="s">
        <v>1988</v>
      </c>
      <c r="F276" s="16">
        <v>1</v>
      </c>
      <c r="G276" s="16"/>
      <c r="H276" s="16">
        <v>0</v>
      </c>
      <c r="I276" s="16"/>
      <c r="J276" s="16"/>
      <c r="K276" s="16">
        <v>1</v>
      </c>
      <c r="L276" s="15" t="s">
        <v>750</v>
      </c>
      <c r="M276" s="16">
        <f>0.018*(H276+100)/100*(I276+100)/100*(J276+100)/100</f>
        <v>1.7999999999999999E-2</v>
      </c>
      <c r="N276" s="16">
        <f>F276*M276</f>
        <v>1.7999999999999999E-2</v>
      </c>
      <c r="O276" s="15" t="s">
        <v>1854</v>
      </c>
      <c r="P276" s="15" t="s">
        <v>2144</v>
      </c>
      <c r="Q276" s="1" t="s">
        <v>501</v>
      </c>
      <c r="R276" s="1" t="s">
        <v>753</v>
      </c>
      <c r="S276">
        <v>1.7999999999999999E-2</v>
      </c>
      <c r="T276" s="1" t="s">
        <v>1359</v>
      </c>
      <c r="V276">
        <f>N276</f>
        <v>1.7999999999999999E-2</v>
      </c>
    </row>
    <row r="277" spans="1:27" ht="30" customHeight="1" x14ac:dyDescent="0.3">
      <c r="A277" s="15" t="s">
        <v>51</v>
      </c>
      <c r="B277" s="15" t="s">
        <v>51</v>
      </c>
      <c r="C277" s="15" t="s">
        <v>51</v>
      </c>
      <c r="D277" s="15" t="s">
        <v>51</v>
      </c>
      <c r="E277" s="15" t="s">
        <v>51</v>
      </c>
      <c r="F277" s="16"/>
      <c r="G277" s="16"/>
      <c r="H277" s="16"/>
      <c r="I277" s="16"/>
      <c r="J277" s="16"/>
      <c r="K277" s="16"/>
      <c r="L277" s="15" t="s">
        <v>755</v>
      </c>
      <c r="M277" s="16">
        <f>0.007*(H276+100)/100*(I276+100)/100*(J276+100)/100</f>
        <v>7.000000000000001E-3</v>
      </c>
      <c r="N277" s="16">
        <f>F276*M277</f>
        <v>7.000000000000001E-3</v>
      </c>
      <c r="O277" s="15" t="s">
        <v>1865</v>
      </c>
      <c r="P277" s="15" t="s">
        <v>2007</v>
      </c>
      <c r="Q277" s="1" t="s">
        <v>501</v>
      </c>
      <c r="R277" s="1" t="s">
        <v>756</v>
      </c>
      <c r="S277">
        <v>7.0000000000000001E-3</v>
      </c>
      <c r="T277" s="1" t="s">
        <v>1359</v>
      </c>
      <c r="X277">
        <f>N277</f>
        <v>7.000000000000001E-3</v>
      </c>
    </row>
    <row r="278" spans="1:27" ht="30" customHeight="1" x14ac:dyDescent="0.3">
      <c r="A278" s="15" t="s">
        <v>1358</v>
      </c>
      <c r="B278" s="15" t="s">
        <v>740</v>
      </c>
      <c r="C278" s="15" t="s">
        <v>499</v>
      </c>
      <c r="D278" s="15" t="s">
        <v>65</v>
      </c>
      <c r="E278" s="15" t="s">
        <v>1988</v>
      </c>
      <c r="F278" s="16">
        <v>0</v>
      </c>
      <c r="G278" s="16"/>
      <c r="H278" s="16">
        <v>0</v>
      </c>
      <c r="I278" s="16"/>
      <c r="J278" s="16"/>
      <c r="K278" s="16">
        <v>0.03</v>
      </c>
      <c r="L278" s="15" t="s">
        <v>750</v>
      </c>
      <c r="M278" s="16">
        <f>0.018*(H278+100)/100*(I278+100)/100*(J278+100)/100</f>
        <v>1.7999999999999999E-2</v>
      </c>
      <c r="N278" s="16">
        <f>F278*M278</f>
        <v>0</v>
      </c>
      <c r="O278" s="15" t="s">
        <v>1854</v>
      </c>
      <c r="P278" s="15" t="s">
        <v>2144</v>
      </c>
      <c r="Q278" s="1" t="s">
        <v>501</v>
      </c>
      <c r="R278" s="1" t="s">
        <v>753</v>
      </c>
      <c r="S278">
        <v>1.7999999999999999E-2</v>
      </c>
      <c r="T278" s="1" t="s">
        <v>1359</v>
      </c>
      <c r="V278">
        <f>N278</f>
        <v>0</v>
      </c>
    </row>
    <row r="279" spans="1:27" ht="30" customHeight="1" x14ac:dyDescent="0.3">
      <c r="A279" s="15" t="s">
        <v>51</v>
      </c>
      <c r="B279" s="15" t="s">
        <v>51</v>
      </c>
      <c r="C279" s="15" t="s">
        <v>51</v>
      </c>
      <c r="D279" s="15" t="s">
        <v>51</v>
      </c>
      <c r="E279" s="15" t="s">
        <v>51</v>
      </c>
      <c r="F279" s="16"/>
      <c r="G279" s="16"/>
      <c r="H279" s="16"/>
      <c r="I279" s="16"/>
      <c r="J279" s="16"/>
      <c r="K279" s="16"/>
      <c r="L279" s="15" t="s">
        <v>755</v>
      </c>
      <c r="M279" s="16">
        <f>0.007*(H278+100)/100*(I278+100)/100*(J278+100)/100</f>
        <v>7.000000000000001E-3</v>
      </c>
      <c r="N279" s="16">
        <f>F278*M279</f>
        <v>0</v>
      </c>
      <c r="O279" s="15" t="s">
        <v>1865</v>
      </c>
      <c r="P279" s="15" t="s">
        <v>2007</v>
      </c>
      <c r="Q279" s="1" t="s">
        <v>501</v>
      </c>
      <c r="R279" s="1" t="s">
        <v>756</v>
      </c>
      <c r="S279">
        <v>7.0000000000000001E-3</v>
      </c>
      <c r="T279" s="1" t="s">
        <v>1359</v>
      </c>
      <c r="X279">
        <f>N279</f>
        <v>0</v>
      </c>
    </row>
    <row r="280" spans="1:27" ht="30" customHeight="1" x14ac:dyDescent="0.3">
      <c r="A280" s="15" t="s">
        <v>753</v>
      </c>
      <c r="B280" s="15" t="s">
        <v>750</v>
      </c>
      <c r="C280" s="15" t="s">
        <v>751</v>
      </c>
      <c r="D280" s="15" t="s">
        <v>752</v>
      </c>
      <c r="E280" s="15" t="s">
        <v>51</v>
      </c>
      <c r="F280" s="16">
        <f>SUM(V276:V279)</f>
        <v>1.7999999999999999E-2</v>
      </c>
      <c r="G280" s="16"/>
      <c r="H280" s="16"/>
      <c r="I280" s="16"/>
      <c r="J280" s="16"/>
      <c r="K280" s="16">
        <f>ROUND(F280*공량설정_일위대가!B167/100, 공량설정_일위대가!C168)</f>
        <v>1.7999999999999999E-2</v>
      </c>
      <c r="L280" s="15" t="s">
        <v>51</v>
      </c>
      <c r="M280" s="16"/>
      <c r="N280" s="16"/>
      <c r="O280" s="16" t="s">
        <v>1854</v>
      </c>
      <c r="P280" s="15" t="s">
        <v>51</v>
      </c>
      <c r="Q280" s="1" t="s">
        <v>501</v>
      </c>
      <c r="R280" s="1" t="s">
        <v>51</v>
      </c>
      <c r="T280" s="1" t="s">
        <v>1362</v>
      </c>
    </row>
    <row r="281" spans="1:27" ht="30" customHeight="1" x14ac:dyDescent="0.3">
      <c r="A281" s="15" t="s">
        <v>756</v>
      </c>
      <c r="B281" s="15" t="s">
        <v>755</v>
      </c>
      <c r="C281" s="15" t="s">
        <v>751</v>
      </c>
      <c r="D281" s="15" t="s">
        <v>752</v>
      </c>
      <c r="E281" s="15" t="s">
        <v>51</v>
      </c>
      <c r="F281" s="16">
        <f>SUM(X276:X279)</f>
        <v>7.000000000000001E-3</v>
      </c>
      <c r="G281" s="16"/>
      <c r="H281" s="16"/>
      <c r="I281" s="16"/>
      <c r="J281" s="16"/>
      <c r="K281" s="16">
        <f>ROUND(F281*공량설정_일위대가!B167/100, 공량설정_일위대가!C169)</f>
        <v>7.0000000000000001E-3</v>
      </c>
      <c r="L281" s="15" t="s">
        <v>51</v>
      </c>
      <c r="M281" s="16"/>
      <c r="N281" s="16"/>
      <c r="O281" s="16" t="s">
        <v>1865</v>
      </c>
      <c r="P281" s="15" t="s">
        <v>51</v>
      </c>
      <c r="Q281" s="1" t="s">
        <v>501</v>
      </c>
      <c r="R281" s="1" t="s">
        <v>51</v>
      </c>
      <c r="T281" s="1" t="s">
        <v>1363</v>
      </c>
    </row>
    <row r="282" spans="1:27" ht="30" customHeight="1" x14ac:dyDescent="0.3">
      <c r="A282" s="40" t="s">
        <v>2145</v>
      </c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1:27" ht="30" customHeight="1" x14ac:dyDescent="0.3">
      <c r="A283" s="15" t="s">
        <v>1367</v>
      </c>
      <c r="B283" s="15" t="s">
        <v>106</v>
      </c>
      <c r="C283" s="15" t="s">
        <v>1366</v>
      </c>
      <c r="D283" s="15" t="s">
        <v>65</v>
      </c>
      <c r="E283" s="15" t="s">
        <v>2032</v>
      </c>
      <c r="F283" s="16">
        <v>1</v>
      </c>
      <c r="G283" s="16"/>
      <c r="H283" s="16">
        <v>0</v>
      </c>
      <c r="I283" s="16"/>
      <c r="J283" s="16"/>
      <c r="K283" s="16">
        <v>1</v>
      </c>
      <c r="L283" s="15" t="s">
        <v>865</v>
      </c>
      <c r="M283" s="16">
        <f>0.023*(H283+100)/100*(I283+100)/100*(J283+100)/100</f>
        <v>2.3E-2</v>
      </c>
      <c r="N283" s="16">
        <f>F283*M283</f>
        <v>2.3E-2</v>
      </c>
      <c r="O283" s="15" t="s">
        <v>1864</v>
      </c>
      <c r="P283" s="15" t="s">
        <v>2073</v>
      </c>
      <c r="Q283" s="1" t="s">
        <v>504</v>
      </c>
      <c r="R283" s="1" t="s">
        <v>866</v>
      </c>
      <c r="S283">
        <v>2.3E-2</v>
      </c>
      <c r="T283" s="1" t="s">
        <v>1368</v>
      </c>
      <c r="AA283">
        <f>N283</f>
        <v>2.3E-2</v>
      </c>
    </row>
    <row r="284" spans="1:27" ht="30" customHeight="1" x14ac:dyDescent="0.3">
      <c r="A284" s="15" t="s">
        <v>1367</v>
      </c>
      <c r="B284" s="15" t="s">
        <v>106</v>
      </c>
      <c r="C284" s="15" t="s">
        <v>1366</v>
      </c>
      <c r="D284" s="15" t="s">
        <v>65</v>
      </c>
      <c r="E284" s="15" t="s">
        <v>2032</v>
      </c>
      <c r="F284" s="16">
        <v>0</v>
      </c>
      <c r="G284" s="16"/>
      <c r="H284" s="16">
        <v>0</v>
      </c>
      <c r="I284" s="16"/>
      <c r="J284" s="16"/>
      <c r="K284" s="16">
        <v>0.05</v>
      </c>
      <c r="L284" s="15" t="s">
        <v>865</v>
      </c>
      <c r="M284" s="16">
        <f>0.023*(H284+100)/100*(I284+100)/100*(J284+100)/100</f>
        <v>2.3E-2</v>
      </c>
      <c r="N284" s="16">
        <f>F284*M284</f>
        <v>0</v>
      </c>
      <c r="O284" s="15" t="s">
        <v>1864</v>
      </c>
      <c r="P284" s="15" t="s">
        <v>2073</v>
      </c>
      <c r="Q284" s="1" t="s">
        <v>504</v>
      </c>
      <c r="R284" s="1" t="s">
        <v>866</v>
      </c>
      <c r="S284">
        <v>2.3E-2</v>
      </c>
      <c r="T284" s="1" t="s">
        <v>1368</v>
      </c>
      <c r="AA284">
        <f>N284</f>
        <v>0</v>
      </c>
    </row>
    <row r="285" spans="1:27" ht="30" customHeight="1" x14ac:dyDescent="0.3">
      <c r="A285" s="15" t="s">
        <v>866</v>
      </c>
      <c r="B285" s="15" t="s">
        <v>865</v>
      </c>
      <c r="C285" s="15" t="s">
        <v>751</v>
      </c>
      <c r="D285" s="15" t="s">
        <v>752</v>
      </c>
      <c r="E285" s="15" t="s">
        <v>51</v>
      </c>
      <c r="F285" s="16">
        <f>SUM(AA283:AA284)</f>
        <v>2.3E-2</v>
      </c>
      <c r="G285" s="16"/>
      <c r="H285" s="16"/>
      <c r="I285" s="16"/>
      <c r="J285" s="16"/>
      <c r="K285" s="16">
        <f>ROUND(F285*공량설정_일위대가!B170/100, 공량설정_일위대가!C171)</f>
        <v>2.3E-2</v>
      </c>
      <c r="L285" s="15" t="s">
        <v>51</v>
      </c>
      <c r="M285" s="16"/>
      <c r="N285" s="16"/>
      <c r="O285" s="16" t="s">
        <v>1864</v>
      </c>
      <c r="P285" s="15" t="s">
        <v>51</v>
      </c>
      <c r="Q285" s="1" t="s">
        <v>504</v>
      </c>
      <c r="R285" s="1" t="s">
        <v>51</v>
      </c>
      <c r="T285" s="1" t="s">
        <v>1370</v>
      </c>
    </row>
    <row r="286" spans="1:27" ht="30" customHeight="1" x14ac:dyDescent="0.3">
      <c r="A286" s="40" t="s">
        <v>2146</v>
      </c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1:27" ht="30" customHeight="1" x14ac:dyDescent="0.3">
      <c r="A287" s="15" t="s">
        <v>1374</v>
      </c>
      <c r="B287" s="15" t="s">
        <v>846</v>
      </c>
      <c r="C287" s="15" t="s">
        <v>1373</v>
      </c>
      <c r="D287" s="15" t="s">
        <v>65</v>
      </c>
      <c r="E287" s="15" t="s">
        <v>1992</v>
      </c>
      <c r="F287" s="16">
        <v>1</v>
      </c>
      <c r="G287" s="16"/>
      <c r="H287" s="16">
        <v>50</v>
      </c>
      <c r="I287" s="16"/>
      <c r="J287" s="16"/>
      <c r="K287" s="16">
        <v>1</v>
      </c>
      <c r="L287" s="15" t="s">
        <v>769</v>
      </c>
      <c r="M287" s="16">
        <f>0.006*(H287+100)/100*(I287+100)/100*(J287+100)/100</f>
        <v>9.0000000000000011E-3</v>
      </c>
      <c r="N287" s="16">
        <f>F287*M287</f>
        <v>9.0000000000000011E-3</v>
      </c>
      <c r="O287" s="15" t="s">
        <v>1862</v>
      </c>
      <c r="P287" s="15" t="s">
        <v>2147</v>
      </c>
      <c r="Q287" s="1" t="s">
        <v>507</v>
      </c>
      <c r="R287" s="1" t="s">
        <v>770</v>
      </c>
      <c r="S287">
        <v>6.0000000000000001E-3</v>
      </c>
      <c r="T287" s="1" t="s">
        <v>1375</v>
      </c>
      <c r="Y287">
        <f>N287</f>
        <v>9.0000000000000011E-3</v>
      </c>
    </row>
    <row r="288" spans="1:27" ht="30" customHeight="1" x14ac:dyDescent="0.3">
      <c r="A288" s="15" t="s">
        <v>1374</v>
      </c>
      <c r="B288" s="15" t="s">
        <v>846</v>
      </c>
      <c r="C288" s="15" t="s">
        <v>1373</v>
      </c>
      <c r="D288" s="15" t="s">
        <v>65</v>
      </c>
      <c r="E288" s="15" t="s">
        <v>1992</v>
      </c>
      <c r="F288" s="16">
        <v>0</v>
      </c>
      <c r="G288" s="16"/>
      <c r="H288" s="16">
        <v>0</v>
      </c>
      <c r="I288" s="16"/>
      <c r="J288" s="16"/>
      <c r="K288" s="16">
        <v>0.1</v>
      </c>
      <c r="L288" s="15" t="s">
        <v>769</v>
      </c>
      <c r="M288" s="16">
        <f>0.006*(H288+100)/100*(I288+100)/100*(J288+100)/100</f>
        <v>6.0000000000000001E-3</v>
      </c>
      <c r="N288" s="16">
        <f>F288*M288</f>
        <v>0</v>
      </c>
      <c r="O288" s="15" t="s">
        <v>1862</v>
      </c>
      <c r="P288" s="15" t="s">
        <v>2136</v>
      </c>
      <c r="Q288" s="1" t="s">
        <v>507</v>
      </c>
      <c r="R288" s="1" t="s">
        <v>770</v>
      </c>
      <c r="S288">
        <v>6.0000000000000001E-3</v>
      </c>
      <c r="T288" s="1" t="s">
        <v>1375</v>
      </c>
      <c r="Y288">
        <f>N288</f>
        <v>0</v>
      </c>
    </row>
    <row r="289" spans="1:27" ht="30" customHeight="1" x14ac:dyDescent="0.3">
      <c r="A289" s="15" t="s">
        <v>770</v>
      </c>
      <c r="B289" s="15" t="s">
        <v>769</v>
      </c>
      <c r="C289" s="15" t="s">
        <v>751</v>
      </c>
      <c r="D289" s="15" t="s">
        <v>752</v>
      </c>
      <c r="E289" s="15" t="s">
        <v>51</v>
      </c>
      <c r="F289" s="16">
        <f>SUM(Y287:Y288)</f>
        <v>9.0000000000000011E-3</v>
      </c>
      <c r="G289" s="16"/>
      <c r="H289" s="16"/>
      <c r="I289" s="16"/>
      <c r="J289" s="16"/>
      <c r="K289" s="16">
        <f>ROUND(F289*공량설정_일위대가!B172/100, 공량설정_일위대가!C173)</f>
        <v>8.9999999999999993E-3</v>
      </c>
      <c r="L289" s="15" t="s">
        <v>51</v>
      </c>
      <c r="M289" s="16"/>
      <c r="N289" s="16"/>
      <c r="O289" s="16" t="s">
        <v>1862</v>
      </c>
      <c r="P289" s="15" t="s">
        <v>51</v>
      </c>
      <c r="Q289" s="1" t="s">
        <v>507</v>
      </c>
      <c r="R289" s="1" t="s">
        <v>51</v>
      </c>
      <c r="T289" s="1" t="s">
        <v>1377</v>
      </c>
    </row>
    <row r="290" spans="1:27" ht="30" customHeight="1" x14ac:dyDescent="0.3">
      <c r="A290" s="40" t="s">
        <v>2148</v>
      </c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1:27" ht="30" customHeight="1" x14ac:dyDescent="0.3">
      <c r="A291" s="15" t="s">
        <v>1381</v>
      </c>
      <c r="B291" s="15" t="s">
        <v>357</v>
      </c>
      <c r="C291" s="15" t="s">
        <v>1380</v>
      </c>
      <c r="D291" s="15" t="s">
        <v>58</v>
      </c>
      <c r="E291" s="15" t="s">
        <v>2018</v>
      </c>
      <c r="F291" s="16">
        <v>1</v>
      </c>
      <c r="G291" s="16"/>
      <c r="H291" s="16">
        <v>-10</v>
      </c>
      <c r="I291" s="16"/>
      <c r="J291" s="16"/>
      <c r="K291" s="16">
        <v>1</v>
      </c>
      <c r="L291" s="15" t="s">
        <v>769</v>
      </c>
      <c r="M291" s="16">
        <f>0.059*(H291+100)/100*(I291+100)/100*(J291+100)/100</f>
        <v>5.3099999999999994E-2</v>
      </c>
      <c r="N291" s="16">
        <f>F291*M291</f>
        <v>5.3099999999999994E-2</v>
      </c>
      <c r="O291" s="15" t="s">
        <v>1862</v>
      </c>
      <c r="P291" s="15" t="s">
        <v>2149</v>
      </c>
      <c r="Q291" s="1" t="s">
        <v>521</v>
      </c>
      <c r="R291" s="1" t="s">
        <v>770</v>
      </c>
      <c r="S291">
        <v>5.8999999999999997E-2</v>
      </c>
      <c r="T291" s="1" t="s">
        <v>1382</v>
      </c>
      <c r="Y291">
        <f>N291</f>
        <v>5.3099999999999994E-2</v>
      </c>
    </row>
    <row r="292" spans="1:27" ht="30" customHeight="1" x14ac:dyDescent="0.3">
      <c r="A292" s="15" t="s">
        <v>1381</v>
      </c>
      <c r="B292" s="15" t="s">
        <v>357</v>
      </c>
      <c r="C292" s="15" t="s">
        <v>1380</v>
      </c>
      <c r="D292" s="15" t="s">
        <v>58</v>
      </c>
      <c r="E292" s="15" t="s">
        <v>2018</v>
      </c>
      <c r="F292" s="16">
        <v>0</v>
      </c>
      <c r="G292" s="16"/>
      <c r="H292" s="16">
        <v>0</v>
      </c>
      <c r="I292" s="16"/>
      <c r="J292" s="16"/>
      <c r="K292" s="16">
        <v>0.1</v>
      </c>
      <c r="L292" s="15" t="s">
        <v>769</v>
      </c>
      <c r="M292" s="16">
        <f>0.059*(H292+100)/100*(I292+100)/100*(J292+100)/100</f>
        <v>5.8999999999999997E-2</v>
      </c>
      <c r="N292" s="16">
        <f>F292*M292</f>
        <v>0</v>
      </c>
      <c r="O292" s="15" t="s">
        <v>1862</v>
      </c>
      <c r="P292" s="15" t="s">
        <v>2150</v>
      </c>
      <c r="Q292" s="1" t="s">
        <v>521</v>
      </c>
      <c r="R292" s="1" t="s">
        <v>770</v>
      </c>
      <c r="S292">
        <v>5.8999999999999997E-2</v>
      </c>
      <c r="T292" s="1" t="s">
        <v>1382</v>
      </c>
      <c r="Y292">
        <f>N292</f>
        <v>0</v>
      </c>
    </row>
    <row r="293" spans="1:27" ht="30" customHeight="1" x14ac:dyDescent="0.3">
      <c r="A293" s="15" t="s">
        <v>770</v>
      </c>
      <c r="B293" s="15" t="s">
        <v>769</v>
      </c>
      <c r="C293" s="15" t="s">
        <v>751</v>
      </c>
      <c r="D293" s="15" t="s">
        <v>752</v>
      </c>
      <c r="E293" s="15" t="s">
        <v>51</v>
      </c>
      <c r="F293" s="16">
        <f>SUM(Y291:Y292)</f>
        <v>5.3099999999999994E-2</v>
      </c>
      <c r="G293" s="16"/>
      <c r="H293" s="16"/>
      <c r="I293" s="16"/>
      <c r="J293" s="16"/>
      <c r="K293" s="16">
        <f>ROUND(F293*공량설정_일위대가!B174/100, 공량설정_일위대가!C175)</f>
        <v>5.3100000000000001E-2</v>
      </c>
      <c r="L293" s="15" t="s">
        <v>51</v>
      </c>
      <c r="M293" s="16"/>
      <c r="N293" s="16"/>
      <c r="O293" s="16" t="s">
        <v>1862</v>
      </c>
      <c r="P293" s="15" t="s">
        <v>51</v>
      </c>
      <c r="Q293" s="1" t="s">
        <v>521</v>
      </c>
      <c r="R293" s="1" t="s">
        <v>51</v>
      </c>
      <c r="T293" s="1" t="s">
        <v>1385</v>
      </c>
    </row>
    <row r="294" spans="1:27" ht="30" customHeight="1" x14ac:dyDescent="0.3">
      <c r="A294" s="40" t="s">
        <v>2151</v>
      </c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1:27" ht="30" customHeight="1" x14ac:dyDescent="0.3">
      <c r="A295" s="15" t="s">
        <v>1389</v>
      </c>
      <c r="B295" s="15" t="s">
        <v>357</v>
      </c>
      <c r="C295" s="15" t="s">
        <v>1388</v>
      </c>
      <c r="D295" s="15" t="s">
        <v>58</v>
      </c>
      <c r="E295" s="15" t="s">
        <v>2018</v>
      </c>
      <c r="F295" s="16">
        <v>1</v>
      </c>
      <c r="G295" s="16"/>
      <c r="H295" s="16">
        <v>-10</v>
      </c>
      <c r="I295" s="16"/>
      <c r="J295" s="16"/>
      <c r="K295" s="16">
        <v>1</v>
      </c>
      <c r="L295" s="15" t="s">
        <v>769</v>
      </c>
      <c r="M295" s="16">
        <f>0.104*(H295+100)/100*(I295+100)/100*(J295+100)/100</f>
        <v>9.3599999999999989E-2</v>
      </c>
      <c r="N295" s="16">
        <f>F295*M295</f>
        <v>9.3599999999999989E-2</v>
      </c>
      <c r="O295" s="15" t="s">
        <v>1862</v>
      </c>
      <c r="P295" s="15" t="s">
        <v>2152</v>
      </c>
      <c r="Q295" s="1" t="s">
        <v>525</v>
      </c>
      <c r="R295" s="1" t="s">
        <v>770</v>
      </c>
      <c r="S295">
        <v>0.104</v>
      </c>
      <c r="T295" s="1" t="s">
        <v>1390</v>
      </c>
      <c r="Y295">
        <f>N295</f>
        <v>9.3599999999999989E-2</v>
      </c>
    </row>
    <row r="296" spans="1:27" ht="30" customHeight="1" x14ac:dyDescent="0.3">
      <c r="A296" s="15" t="s">
        <v>1389</v>
      </c>
      <c r="B296" s="15" t="s">
        <v>357</v>
      </c>
      <c r="C296" s="15" t="s">
        <v>1388</v>
      </c>
      <c r="D296" s="15" t="s">
        <v>58</v>
      </c>
      <c r="E296" s="15" t="s">
        <v>2018</v>
      </c>
      <c r="F296" s="16">
        <v>0</v>
      </c>
      <c r="G296" s="16"/>
      <c r="H296" s="16">
        <v>0</v>
      </c>
      <c r="I296" s="16"/>
      <c r="J296" s="16"/>
      <c r="K296" s="16">
        <v>0.1</v>
      </c>
      <c r="L296" s="15" t="s">
        <v>769</v>
      </c>
      <c r="M296" s="16">
        <f>0.104*(H296+100)/100*(I296+100)/100*(J296+100)/100</f>
        <v>0.10400000000000001</v>
      </c>
      <c r="N296" s="16">
        <f>F296*M296</f>
        <v>0</v>
      </c>
      <c r="O296" s="15" t="s">
        <v>1862</v>
      </c>
      <c r="P296" s="15" t="s">
        <v>2153</v>
      </c>
      <c r="Q296" s="1" t="s">
        <v>525</v>
      </c>
      <c r="R296" s="1" t="s">
        <v>770</v>
      </c>
      <c r="S296">
        <v>0.104</v>
      </c>
      <c r="T296" s="1" t="s">
        <v>1390</v>
      </c>
      <c r="Y296">
        <f>N296</f>
        <v>0</v>
      </c>
    </row>
    <row r="297" spans="1:27" ht="30" customHeight="1" x14ac:dyDescent="0.3">
      <c r="A297" s="15" t="s">
        <v>770</v>
      </c>
      <c r="B297" s="15" t="s">
        <v>769</v>
      </c>
      <c r="C297" s="15" t="s">
        <v>751</v>
      </c>
      <c r="D297" s="15" t="s">
        <v>752</v>
      </c>
      <c r="E297" s="15" t="s">
        <v>51</v>
      </c>
      <c r="F297" s="16">
        <f>SUM(Y295:Y296)</f>
        <v>9.3599999999999989E-2</v>
      </c>
      <c r="G297" s="16"/>
      <c r="H297" s="16"/>
      <c r="I297" s="16"/>
      <c r="J297" s="16"/>
      <c r="K297" s="16">
        <f>ROUND(F297*공량설정_일위대가!B176/100, 공량설정_일위대가!C177)</f>
        <v>9.3600000000000003E-2</v>
      </c>
      <c r="L297" s="15" t="s">
        <v>51</v>
      </c>
      <c r="M297" s="16"/>
      <c r="N297" s="16"/>
      <c r="O297" s="16" t="s">
        <v>1862</v>
      </c>
      <c r="P297" s="15" t="s">
        <v>51</v>
      </c>
      <c r="Q297" s="1" t="s">
        <v>525</v>
      </c>
      <c r="R297" s="1" t="s">
        <v>51</v>
      </c>
      <c r="T297" s="1" t="s">
        <v>1393</v>
      </c>
    </row>
    <row r="298" spans="1:27" ht="30" customHeight="1" x14ac:dyDescent="0.3">
      <c r="A298" s="40" t="s">
        <v>2154</v>
      </c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1:27" ht="30" customHeight="1" x14ac:dyDescent="0.3">
      <c r="A299" s="15" t="s">
        <v>1397</v>
      </c>
      <c r="B299" s="15" t="s">
        <v>106</v>
      </c>
      <c r="C299" s="15" t="s">
        <v>1396</v>
      </c>
      <c r="D299" s="15" t="s">
        <v>65</v>
      </c>
      <c r="E299" s="15" t="s">
        <v>2155</v>
      </c>
      <c r="F299" s="16">
        <v>1</v>
      </c>
      <c r="G299" s="16"/>
      <c r="H299" s="16">
        <v>0</v>
      </c>
      <c r="I299" s="16"/>
      <c r="J299" s="16"/>
      <c r="K299" s="16">
        <v>1</v>
      </c>
      <c r="L299" s="15" t="s">
        <v>865</v>
      </c>
      <c r="M299" s="16">
        <f>0.029*(H299+100)/100*(I299+100)/100*(J299+100)/100</f>
        <v>2.9000000000000005E-2</v>
      </c>
      <c r="N299" s="16">
        <f>F299*M299</f>
        <v>2.9000000000000005E-2</v>
      </c>
      <c r="O299" s="15" t="s">
        <v>1864</v>
      </c>
      <c r="P299" s="15" t="s">
        <v>2156</v>
      </c>
      <c r="Q299" s="1" t="s">
        <v>533</v>
      </c>
      <c r="R299" s="1" t="s">
        <v>866</v>
      </c>
      <c r="S299">
        <v>2.9000000000000001E-2</v>
      </c>
      <c r="T299" s="1" t="s">
        <v>1398</v>
      </c>
      <c r="AA299">
        <f>N299</f>
        <v>2.9000000000000005E-2</v>
      </c>
    </row>
    <row r="300" spans="1:27" ht="30" customHeight="1" x14ac:dyDescent="0.3">
      <c r="A300" s="15" t="s">
        <v>1397</v>
      </c>
      <c r="B300" s="15" t="s">
        <v>106</v>
      </c>
      <c r="C300" s="15" t="s">
        <v>1396</v>
      </c>
      <c r="D300" s="15" t="s">
        <v>65</v>
      </c>
      <c r="E300" s="15" t="s">
        <v>2155</v>
      </c>
      <c r="F300" s="16">
        <v>0</v>
      </c>
      <c r="G300" s="16"/>
      <c r="H300" s="16">
        <v>0</v>
      </c>
      <c r="I300" s="16"/>
      <c r="J300" s="16"/>
      <c r="K300" s="16">
        <v>0.05</v>
      </c>
      <c r="L300" s="15" t="s">
        <v>865</v>
      </c>
      <c r="M300" s="16">
        <f>0.029*(H300+100)/100*(I300+100)/100*(J300+100)/100</f>
        <v>2.9000000000000005E-2</v>
      </c>
      <c r="N300" s="16">
        <f>F300*M300</f>
        <v>0</v>
      </c>
      <c r="O300" s="15" t="s">
        <v>1864</v>
      </c>
      <c r="P300" s="15" t="s">
        <v>2156</v>
      </c>
      <c r="Q300" s="1" t="s">
        <v>533</v>
      </c>
      <c r="R300" s="1" t="s">
        <v>866</v>
      </c>
      <c r="S300">
        <v>2.9000000000000001E-2</v>
      </c>
      <c r="T300" s="1" t="s">
        <v>1398</v>
      </c>
      <c r="AA300">
        <f>N300</f>
        <v>0</v>
      </c>
    </row>
    <row r="301" spans="1:27" ht="30" customHeight="1" x14ac:dyDescent="0.3">
      <c r="A301" s="15" t="s">
        <v>866</v>
      </c>
      <c r="B301" s="15" t="s">
        <v>865</v>
      </c>
      <c r="C301" s="15" t="s">
        <v>751</v>
      </c>
      <c r="D301" s="15" t="s">
        <v>752</v>
      </c>
      <c r="E301" s="15" t="s">
        <v>51</v>
      </c>
      <c r="F301" s="16">
        <f>SUM(AA299:AA300)</f>
        <v>2.9000000000000005E-2</v>
      </c>
      <c r="G301" s="16"/>
      <c r="H301" s="16"/>
      <c r="I301" s="16"/>
      <c r="J301" s="16"/>
      <c r="K301" s="16">
        <f>ROUND(F301*공량설정_일위대가!B178/100, 공량설정_일위대가!C179)</f>
        <v>2.9000000000000001E-2</v>
      </c>
      <c r="L301" s="15" t="s">
        <v>51</v>
      </c>
      <c r="M301" s="16"/>
      <c r="N301" s="16"/>
      <c r="O301" s="16" t="s">
        <v>1864</v>
      </c>
      <c r="P301" s="15" t="s">
        <v>51</v>
      </c>
      <c r="Q301" s="1" t="s">
        <v>533</v>
      </c>
      <c r="R301" s="1" t="s">
        <v>51</v>
      </c>
      <c r="T301" s="1" t="s">
        <v>1400</v>
      </c>
    </row>
    <row r="302" spans="1:27" ht="30" customHeight="1" x14ac:dyDescent="0.3">
      <c r="A302" s="40" t="s">
        <v>2157</v>
      </c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1:27" ht="30" customHeight="1" x14ac:dyDescent="0.3">
      <c r="A303" s="15" t="s">
        <v>1404</v>
      </c>
      <c r="B303" s="15" t="s">
        <v>846</v>
      </c>
      <c r="C303" s="15" t="s">
        <v>1403</v>
      </c>
      <c r="D303" s="15" t="s">
        <v>65</v>
      </c>
      <c r="E303" s="15" t="s">
        <v>1992</v>
      </c>
      <c r="F303" s="16">
        <v>1</v>
      </c>
      <c r="G303" s="16"/>
      <c r="H303" s="16">
        <v>50</v>
      </c>
      <c r="I303" s="16"/>
      <c r="J303" s="16"/>
      <c r="K303" s="16">
        <v>1</v>
      </c>
      <c r="L303" s="15" t="s">
        <v>769</v>
      </c>
      <c r="M303" s="16">
        <f>0.006*(H303+100)/100*(I303+100)/100*(J303+100)/100</f>
        <v>9.0000000000000011E-3</v>
      </c>
      <c r="N303" s="16">
        <f>F303*M303</f>
        <v>9.0000000000000011E-3</v>
      </c>
      <c r="O303" s="15" t="s">
        <v>1862</v>
      </c>
      <c r="P303" s="15" t="s">
        <v>2147</v>
      </c>
      <c r="Q303" s="1" t="s">
        <v>540</v>
      </c>
      <c r="R303" s="1" t="s">
        <v>770</v>
      </c>
      <c r="S303">
        <v>6.0000000000000001E-3</v>
      </c>
      <c r="T303" s="1" t="s">
        <v>1405</v>
      </c>
      <c r="Y303">
        <f>N303</f>
        <v>9.0000000000000011E-3</v>
      </c>
    </row>
    <row r="304" spans="1:27" ht="30" customHeight="1" x14ac:dyDescent="0.3">
      <c r="A304" s="15" t="s">
        <v>1404</v>
      </c>
      <c r="B304" s="15" t="s">
        <v>846</v>
      </c>
      <c r="C304" s="15" t="s">
        <v>1403</v>
      </c>
      <c r="D304" s="15" t="s">
        <v>65</v>
      </c>
      <c r="E304" s="15" t="s">
        <v>1992</v>
      </c>
      <c r="F304" s="16">
        <v>0</v>
      </c>
      <c r="G304" s="16"/>
      <c r="H304" s="16">
        <v>0</v>
      </c>
      <c r="I304" s="16"/>
      <c r="J304" s="16"/>
      <c r="K304" s="16">
        <v>0.1</v>
      </c>
      <c r="L304" s="15" t="s">
        <v>769</v>
      </c>
      <c r="M304" s="16">
        <f>0.006*(H304+100)/100*(I304+100)/100*(J304+100)/100</f>
        <v>6.0000000000000001E-3</v>
      </c>
      <c r="N304" s="16">
        <f>F304*M304</f>
        <v>0</v>
      </c>
      <c r="O304" s="15" t="s">
        <v>1862</v>
      </c>
      <c r="P304" s="15" t="s">
        <v>2136</v>
      </c>
      <c r="Q304" s="1" t="s">
        <v>540</v>
      </c>
      <c r="R304" s="1" t="s">
        <v>770</v>
      </c>
      <c r="S304">
        <v>6.0000000000000001E-3</v>
      </c>
      <c r="T304" s="1" t="s">
        <v>1405</v>
      </c>
      <c r="Y304">
        <f>N304</f>
        <v>0</v>
      </c>
    </row>
    <row r="305" spans="1:25" ht="30" customHeight="1" x14ac:dyDescent="0.3">
      <c r="A305" s="15" t="s">
        <v>770</v>
      </c>
      <c r="B305" s="15" t="s">
        <v>769</v>
      </c>
      <c r="C305" s="15" t="s">
        <v>751</v>
      </c>
      <c r="D305" s="15" t="s">
        <v>752</v>
      </c>
      <c r="E305" s="15" t="s">
        <v>51</v>
      </c>
      <c r="F305" s="16">
        <f>SUM(Y303:Y304)</f>
        <v>9.0000000000000011E-3</v>
      </c>
      <c r="G305" s="16"/>
      <c r="H305" s="16"/>
      <c r="I305" s="16"/>
      <c r="J305" s="16"/>
      <c r="K305" s="16">
        <f>ROUND(F305*공량설정_일위대가!B180/100, 공량설정_일위대가!C181)</f>
        <v>8.9999999999999993E-3</v>
      </c>
      <c r="L305" s="15" t="s">
        <v>51</v>
      </c>
      <c r="M305" s="16"/>
      <c r="N305" s="16"/>
      <c r="O305" s="16" t="s">
        <v>1862</v>
      </c>
      <c r="P305" s="15" t="s">
        <v>51</v>
      </c>
      <c r="Q305" s="1" t="s">
        <v>540</v>
      </c>
      <c r="R305" s="1" t="s">
        <v>51</v>
      </c>
      <c r="T305" s="1" t="s">
        <v>1407</v>
      </c>
    </row>
    <row r="306" spans="1:25" ht="30" customHeight="1" x14ac:dyDescent="0.3">
      <c r="A306" s="40" t="s">
        <v>2158</v>
      </c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1:25" ht="30" customHeight="1" x14ac:dyDescent="0.3">
      <c r="A307" s="15" t="s">
        <v>1439</v>
      </c>
      <c r="B307" s="15" t="s">
        <v>551</v>
      </c>
      <c r="C307" s="15" t="s">
        <v>1438</v>
      </c>
      <c r="D307" s="15" t="s">
        <v>65</v>
      </c>
      <c r="E307" s="15" t="s">
        <v>2159</v>
      </c>
      <c r="F307" s="16">
        <v>1</v>
      </c>
      <c r="G307" s="16">
        <v>5</v>
      </c>
      <c r="H307" s="16">
        <v>-10</v>
      </c>
      <c r="I307" s="16"/>
      <c r="J307" s="16"/>
      <c r="K307" s="16">
        <v>1.05</v>
      </c>
      <c r="L307" s="15" t="s">
        <v>769</v>
      </c>
      <c r="M307" s="16">
        <f>0.23*(H307+100)/100*(I307+100)/100*(J307+100)/100</f>
        <v>0.20699999999999999</v>
      </c>
      <c r="N307" s="16">
        <f>F307*M307</f>
        <v>0.20699999999999999</v>
      </c>
      <c r="O307" s="15" t="s">
        <v>1862</v>
      </c>
      <c r="P307" s="15" t="s">
        <v>2160</v>
      </c>
      <c r="Q307" s="1" t="s">
        <v>575</v>
      </c>
      <c r="R307" s="1" t="s">
        <v>770</v>
      </c>
      <c r="S307">
        <v>0.23</v>
      </c>
      <c r="T307" s="1" t="s">
        <v>1440</v>
      </c>
      <c r="Y307">
        <f>N307</f>
        <v>0.20699999999999999</v>
      </c>
    </row>
    <row r="308" spans="1:25" ht="30" customHeight="1" x14ac:dyDescent="0.3">
      <c r="A308" s="15" t="s">
        <v>770</v>
      </c>
      <c r="B308" s="15" t="s">
        <v>769</v>
      </c>
      <c r="C308" s="15" t="s">
        <v>751</v>
      </c>
      <c r="D308" s="15" t="s">
        <v>752</v>
      </c>
      <c r="E308" s="15" t="s">
        <v>51</v>
      </c>
      <c r="F308" s="16">
        <f>SUM(Y307:Y307)</f>
        <v>0.20699999999999999</v>
      </c>
      <c r="G308" s="16"/>
      <c r="H308" s="16"/>
      <c r="I308" s="16"/>
      <c r="J308" s="16"/>
      <c r="K308" s="16">
        <f>ROUND(F308*공량설정_일위대가!B185/100, 공량설정_일위대가!C186)</f>
        <v>0.20699999999999999</v>
      </c>
      <c r="L308" s="15" t="s">
        <v>51</v>
      </c>
      <c r="M308" s="16"/>
      <c r="N308" s="16"/>
      <c r="O308" s="16" t="s">
        <v>1862</v>
      </c>
      <c r="P308" s="15" t="s">
        <v>51</v>
      </c>
      <c r="Q308" s="1" t="s">
        <v>575</v>
      </c>
      <c r="R308" s="1" t="s">
        <v>51</v>
      </c>
      <c r="T308" s="1" t="s">
        <v>1441</v>
      </c>
    </row>
    <row r="309" spans="1:25" ht="30" customHeight="1" x14ac:dyDescent="0.3">
      <c r="A309" s="40" t="s">
        <v>2161</v>
      </c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1:25" ht="30" customHeight="1" x14ac:dyDescent="0.3">
      <c r="A310" s="15" t="s">
        <v>1105</v>
      </c>
      <c r="B310" s="15" t="s">
        <v>1103</v>
      </c>
      <c r="C310" s="15" t="s">
        <v>1104</v>
      </c>
      <c r="D310" s="15" t="s">
        <v>58</v>
      </c>
      <c r="E310" s="15" t="s">
        <v>2070</v>
      </c>
      <c r="F310" s="16">
        <v>2</v>
      </c>
      <c r="G310" s="16">
        <v>0</v>
      </c>
      <c r="H310" s="16"/>
      <c r="I310" s="16"/>
      <c r="J310" s="16"/>
      <c r="K310" s="16">
        <v>2</v>
      </c>
      <c r="L310" s="15" t="s">
        <v>769</v>
      </c>
      <c r="M310" s="16">
        <f>0.036*(H310+100)/100*(I310+100)/100*(J310+100)/100</f>
        <v>3.5999999999999997E-2</v>
      </c>
      <c r="N310" s="16">
        <f>F310*M310</f>
        <v>7.1999999999999995E-2</v>
      </c>
      <c r="O310" s="15" t="s">
        <v>1862</v>
      </c>
      <c r="P310" s="15" t="s">
        <v>2024</v>
      </c>
      <c r="Q310" s="1" t="s">
        <v>580</v>
      </c>
      <c r="R310" s="1" t="s">
        <v>770</v>
      </c>
      <c r="S310">
        <v>3.5999999999999997E-2</v>
      </c>
      <c r="T310" s="1" t="s">
        <v>1447</v>
      </c>
      <c r="Y310">
        <f>N310</f>
        <v>7.1999999999999995E-2</v>
      </c>
    </row>
    <row r="311" spans="1:25" ht="30" customHeight="1" x14ac:dyDescent="0.3">
      <c r="A311" s="15" t="s">
        <v>770</v>
      </c>
      <c r="B311" s="15" t="s">
        <v>769</v>
      </c>
      <c r="C311" s="15" t="s">
        <v>751</v>
      </c>
      <c r="D311" s="15" t="s">
        <v>752</v>
      </c>
      <c r="E311" s="15" t="s">
        <v>51</v>
      </c>
      <c r="F311" s="16">
        <f>SUM(Y310:Y310)</f>
        <v>7.1999999999999995E-2</v>
      </c>
      <c r="G311" s="16"/>
      <c r="H311" s="16"/>
      <c r="I311" s="16"/>
      <c r="J311" s="16"/>
      <c r="K311" s="16">
        <f>ROUND(F311*공량설정_일위대가!B187/100, 공량설정_일위대가!C188)</f>
        <v>7.1999999999999995E-2</v>
      </c>
      <c r="L311" s="15" t="s">
        <v>51</v>
      </c>
      <c r="M311" s="16"/>
      <c r="N311" s="16"/>
      <c r="O311" s="16" t="s">
        <v>1862</v>
      </c>
      <c r="P311" s="15" t="s">
        <v>51</v>
      </c>
      <c r="Q311" s="1" t="s">
        <v>580</v>
      </c>
      <c r="R311" s="1" t="s">
        <v>51</v>
      </c>
      <c r="T311" s="1" t="s">
        <v>1462</v>
      </c>
    </row>
    <row r="312" spans="1:25" ht="30" customHeight="1" x14ac:dyDescent="0.3">
      <c r="A312" s="40" t="s">
        <v>2162</v>
      </c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1:25" ht="30" customHeight="1" x14ac:dyDescent="0.3">
      <c r="A313" s="15" t="s">
        <v>1466</v>
      </c>
      <c r="B313" s="15" t="s">
        <v>846</v>
      </c>
      <c r="C313" s="15" t="s">
        <v>1465</v>
      </c>
      <c r="D313" s="15" t="s">
        <v>65</v>
      </c>
      <c r="E313" s="15" t="s">
        <v>1992</v>
      </c>
      <c r="F313" s="16">
        <v>1</v>
      </c>
      <c r="G313" s="16"/>
      <c r="H313" s="16">
        <v>0</v>
      </c>
      <c r="I313" s="16"/>
      <c r="J313" s="16"/>
      <c r="K313" s="16">
        <v>1</v>
      </c>
      <c r="L313" s="15" t="s">
        <v>769</v>
      </c>
      <c r="M313" s="16">
        <f>0.011*(H313+100)/100*(I313+100)/100*(J313+100)/100</f>
        <v>1.0999999999999999E-2</v>
      </c>
      <c r="N313" s="16">
        <f>F313*M313</f>
        <v>1.0999999999999999E-2</v>
      </c>
      <c r="O313" s="15" t="s">
        <v>1862</v>
      </c>
      <c r="P313" s="15" t="s">
        <v>1994</v>
      </c>
      <c r="Q313" s="1" t="s">
        <v>584</v>
      </c>
      <c r="R313" s="1" t="s">
        <v>770</v>
      </c>
      <c r="S313">
        <v>1.0999999999999999E-2</v>
      </c>
      <c r="T313" s="1" t="s">
        <v>1467</v>
      </c>
      <c r="Y313">
        <f>N313</f>
        <v>1.0999999999999999E-2</v>
      </c>
    </row>
    <row r="314" spans="1:25" ht="30" customHeight="1" x14ac:dyDescent="0.3">
      <c r="A314" s="15" t="s">
        <v>1466</v>
      </c>
      <c r="B314" s="15" t="s">
        <v>846</v>
      </c>
      <c r="C314" s="15" t="s">
        <v>1465</v>
      </c>
      <c r="D314" s="15" t="s">
        <v>65</v>
      </c>
      <c r="E314" s="15" t="s">
        <v>1992</v>
      </c>
      <c r="F314" s="16">
        <v>0</v>
      </c>
      <c r="G314" s="16"/>
      <c r="H314" s="16">
        <v>0</v>
      </c>
      <c r="I314" s="16"/>
      <c r="J314" s="16"/>
      <c r="K314" s="16">
        <v>0.05</v>
      </c>
      <c r="L314" s="15" t="s">
        <v>769</v>
      </c>
      <c r="M314" s="16">
        <f>0.011*(H314+100)/100*(I314+100)/100*(J314+100)/100</f>
        <v>1.0999999999999999E-2</v>
      </c>
      <c r="N314" s="16">
        <f>F314*M314</f>
        <v>0</v>
      </c>
      <c r="O314" s="15" t="s">
        <v>1862</v>
      </c>
      <c r="P314" s="15" t="s">
        <v>1994</v>
      </c>
      <c r="Q314" s="1" t="s">
        <v>584</v>
      </c>
      <c r="R314" s="1" t="s">
        <v>770</v>
      </c>
      <c r="S314">
        <v>1.0999999999999999E-2</v>
      </c>
      <c r="T314" s="1" t="s">
        <v>1467</v>
      </c>
      <c r="Y314">
        <f>N314</f>
        <v>0</v>
      </c>
    </row>
    <row r="315" spans="1:25" ht="30" customHeight="1" x14ac:dyDescent="0.3">
      <c r="A315" s="15" t="s">
        <v>770</v>
      </c>
      <c r="B315" s="15" t="s">
        <v>769</v>
      </c>
      <c r="C315" s="15" t="s">
        <v>751</v>
      </c>
      <c r="D315" s="15" t="s">
        <v>752</v>
      </c>
      <c r="E315" s="15" t="s">
        <v>51</v>
      </c>
      <c r="F315" s="16">
        <f>SUM(Y313:Y314)</f>
        <v>1.0999999999999999E-2</v>
      </c>
      <c r="G315" s="16"/>
      <c r="H315" s="16"/>
      <c r="I315" s="16"/>
      <c r="J315" s="16"/>
      <c r="K315" s="16">
        <f>ROUND(F315*공량설정_일위대가!B189/100, 공량설정_일위대가!C190)</f>
        <v>1.0999999999999999E-2</v>
      </c>
      <c r="L315" s="15" t="s">
        <v>51</v>
      </c>
      <c r="M315" s="16"/>
      <c r="N315" s="16"/>
      <c r="O315" s="16" t="s">
        <v>1862</v>
      </c>
      <c r="P315" s="15" t="s">
        <v>51</v>
      </c>
      <c r="Q315" s="1" t="s">
        <v>584</v>
      </c>
      <c r="R315" s="1" t="s">
        <v>51</v>
      </c>
      <c r="T315" s="1" t="s">
        <v>1469</v>
      </c>
    </row>
    <row r="316" spans="1:25" ht="30" customHeight="1" x14ac:dyDescent="0.3">
      <c r="A316" s="40" t="s">
        <v>2163</v>
      </c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1:25" ht="30" customHeight="1" x14ac:dyDescent="0.3">
      <c r="A317" s="15" t="s">
        <v>1483</v>
      </c>
      <c r="B317" s="15" t="s">
        <v>1481</v>
      </c>
      <c r="C317" s="15" t="s">
        <v>1482</v>
      </c>
      <c r="D317" s="15" t="s">
        <v>124</v>
      </c>
      <c r="E317" s="15" t="s">
        <v>2164</v>
      </c>
      <c r="F317" s="16">
        <v>1</v>
      </c>
      <c r="G317" s="16"/>
      <c r="H317" s="16">
        <v>0</v>
      </c>
      <c r="I317" s="16"/>
      <c r="J317" s="16"/>
      <c r="K317" s="16">
        <v>1.1000000000000001</v>
      </c>
      <c r="L317" s="15" t="s">
        <v>750</v>
      </c>
      <c r="M317" s="16">
        <f>1.1*(H317+100)/100*(I317+100)/100*(J317+100)/100</f>
        <v>1.1000000000000001</v>
      </c>
      <c r="N317" s="16">
        <f>F317*M317</f>
        <v>1.1000000000000001</v>
      </c>
      <c r="O317" s="15" t="s">
        <v>1854</v>
      </c>
      <c r="P317" s="15" t="s">
        <v>2165</v>
      </c>
      <c r="Q317" s="1" t="s">
        <v>831</v>
      </c>
      <c r="R317" s="1" t="s">
        <v>753</v>
      </c>
      <c r="S317">
        <v>1.1000000000000001</v>
      </c>
      <c r="T317" s="1" t="s">
        <v>1484</v>
      </c>
      <c r="V317">
        <f>N317</f>
        <v>1.1000000000000001</v>
      </c>
    </row>
    <row r="318" spans="1:25" ht="30" customHeight="1" x14ac:dyDescent="0.3">
      <c r="A318" s="15" t="s">
        <v>753</v>
      </c>
      <c r="B318" s="15" t="s">
        <v>750</v>
      </c>
      <c r="C318" s="15" t="s">
        <v>751</v>
      </c>
      <c r="D318" s="15" t="s">
        <v>752</v>
      </c>
      <c r="E318" s="15" t="s">
        <v>51</v>
      </c>
      <c r="F318" s="16">
        <f>SUM(V317:V317)</f>
        <v>1.1000000000000001</v>
      </c>
      <c r="G318" s="16"/>
      <c r="H318" s="16"/>
      <c r="I318" s="16"/>
      <c r="J318" s="16"/>
      <c r="K318" s="16">
        <f>ROUND(F318*공량설정_일위대가!B196/100, 공량설정_일위대가!C197)</f>
        <v>1.1000000000000001</v>
      </c>
      <c r="L318" s="15" t="s">
        <v>51</v>
      </c>
      <c r="M318" s="16"/>
      <c r="N318" s="16"/>
      <c r="O318" s="16" t="s">
        <v>1854</v>
      </c>
      <c r="P318" s="15" t="s">
        <v>51</v>
      </c>
      <c r="Q318" s="1" t="s">
        <v>831</v>
      </c>
      <c r="R318" s="1" t="s">
        <v>51</v>
      </c>
      <c r="T318" s="1" t="s">
        <v>1485</v>
      </c>
    </row>
  </sheetData>
  <mergeCells count="84">
    <mergeCell ref="A53:P53"/>
    <mergeCell ref="A1:P1"/>
    <mergeCell ref="A2:P2"/>
    <mergeCell ref="A4:P4"/>
    <mergeCell ref="A11:P11"/>
    <mergeCell ref="A15:P15"/>
    <mergeCell ref="A20:P20"/>
    <mergeCell ref="A27:P27"/>
    <mergeCell ref="A32:P32"/>
    <mergeCell ref="A38:P38"/>
    <mergeCell ref="A45:P45"/>
    <mergeCell ref="A48:P48"/>
    <mergeCell ref="A103:P103"/>
    <mergeCell ref="A59:P59"/>
    <mergeCell ref="A63:P63"/>
    <mergeCell ref="A67:P67"/>
    <mergeCell ref="A74:P74"/>
    <mergeCell ref="A77:P77"/>
    <mergeCell ref="A82:P82"/>
    <mergeCell ref="A86:P86"/>
    <mergeCell ref="A89:P89"/>
    <mergeCell ref="A92:P92"/>
    <mergeCell ref="A95:P95"/>
    <mergeCell ref="A99:P99"/>
    <mergeCell ref="A144:P144"/>
    <mergeCell ref="A107:P107"/>
    <mergeCell ref="A111:P111"/>
    <mergeCell ref="A115:P115"/>
    <mergeCell ref="A118:P118"/>
    <mergeCell ref="A121:P121"/>
    <mergeCell ref="A124:P124"/>
    <mergeCell ref="A127:P127"/>
    <mergeCell ref="A130:P130"/>
    <mergeCell ref="A133:P133"/>
    <mergeCell ref="A137:P137"/>
    <mergeCell ref="A141:P141"/>
    <mergeCell ref="A185:P185"/>
    <mergeCell ref="A147:P147"/>
    <mergeCell ref="A151:P151"/>
    <mergeCell ref="A155:P155"/>
    <mergeCell ref="A158:P158"/>
    <mergeCell ref="A161:P161"/>
    <mergeCell ref="A165:P165"/>
    <mergeCell ref="A168:P168"/>
    <mergeCell ref="A171:P171"/>
    <mergeCell ref="A175:P175"/>
    <mergeCell ref="A179:P179"/>
    <mergeCell ref="A182:P182"/>
    <mergeCell ref="A226:P226"/>
    <mergeCell ref="A188:P188"/>
    <mergeCell ref="A191:P191"/>
    <mergeCell ref="A194:P194"/>
    <mergeCell ref="A198:P198"/>
    <mergeCell ref="A202:P202"/>
    <mergeCell ref="A205:P205"/>
    <mergeCell ref="A209:P209"/>
    <mergeCell ref="A213:P213"/>
    <mergeCell ref="A217:P217"/>
    <mergeCell ref="A220:P220"/>
    <mergeCell ref="A223:P223"/>
    <mergeCell ref="A269:P269"/>
    <mergeCell ref="A229:P229"/>
    <mergeCell ref="A232:P232"/>
    <mergeCell ref="A235:P235"/>
    <mergeCell ref="A238:P238"/>
    <mergeCell ref="A241:P241"/>
    <mergeCell ref="A244:P244"/>
    <mergeCell ref="A247:P247"/>
    <mergeCell ref="A251:P251"/>
    <mergeCell ref="A255:P255"/>
    <mergeCell ref="A259:P259"/>
    <mergeCell ref="A262:P262"/>
    <mergeCell ref="A316:P316"/>
    <mergeCell ref="A272:P272"/>
    <mergeCell ref="A275:P275"/>
    <mergeCell ref="A282:P282"/>
    <mergeCell ref="A286:P286"/>
    <mergeCell ref="A290:P290"/>
    <mergeCell ref="A294:P294"/>
    <mergeCell ref="A298:P298"/>
    <mergeCell ref="A302:P302"/>
    <mergeCell ref="A306:P306"/>
    <mergeCell ref="A309:P309"/>
    <mergeCell ref="A312:P312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EBF4-3276-4562-BB5B-888DC8D3271F}">
  <sheetPr>
    <pageSetUpPr fitToPage="1"/>
  </sheetPr>
  <dimension ref="A1:AB175"/>
  <sheetViews>
    <sheetView view="pageBreakPreview" topLeftCell="B1" zoomScale="85" zoomScaleNormal="100" zoomScaleSheetLayoutView="85" workbookViewId="0">
      <selection activeCell="M174" sqref="M174"/>
    </sheetView>
  </sheetViews>
  <sheetFormatPr defaultRowHeight="16.5" x14ac:dyDescent="0.3"/>
  <cols>
    <col min="1" max="1" width="21.625" hidden="1" customWidth="1"/>
    <col min="2" max="2" width="29.375" bestFit="1" customWidth="1"/>
    <col min="3" max="3" width="30.5" bestFit="1" customWidth="1"/>
    <col min="4" max="4" width="5.5" bestFit="1" customWidth="1"/>
    <col min="5" max="5" width="10.5" bestFit="1" customWidth="1"/>
    <col min="6" max="6" width="6.625" bestFit="1" customWidth="1"/>
    <col min="7" max="7" width="11.625" bestFit="1" customWidth="1"/>
    <col min="8" max="8" width="6.625" bestFit="1" customWidth="1"/>
    <col min="9" max="9" width="11.625" bestFit="1" customWidth="1"/>
    <col min="10" max="10" width="6.625" bestFit="1" customWidth="1"/>
    <col min="11" max="11" width="9.25" bestFit="1" customWidth="1"/>
    <col min="12" max="12" width="6.625" bestFit="1" customWidth="1"/>
    <col min="13" max="13" width="15" bestFit="1" customWidth="1"/>
    <col min="14" max="14" width="6.625" bestFit="1" customWidth="1"/>
    <col min="15" max="16" width="15" bestFit="1" customWidth="1"/>
    <col min="17" max="20" width="9.25" bestFit="1" customWidth="1"/>
    <col min="21" max="22" width="10.5" bestFit="1" customWidth="1"/>
    <col min="23" max="23" width="8.5" bestFit="1" customWidth="1"/>
    <col min="24" max="24" width="9.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36" t="s">
        <v>1560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8" ht="30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8" ht="30" customHeight="1" x14ac:dyDescent="0.3">
      <c r="A3" s="34" t="s">
        <v>720</v>
      </c>
      <c r="B3" s="34" t="s">
        <v>2</v>
      </c>
      <c r="C3" s="34" t="s">
        <v>1561</v>
      </c>
      <c r="D3" s="34" t="s">
        <v>4</v>
      </c>
      <c r="E3" s="34" t="s">
        <v>6</v>
      </c>
      <c r="F3" s="34"/>
      <c r="G3" s="34"/>
      <c r="H3" s="34"/>
      <c r="I3" s="34"/>
      <c r="J3" s="34"/>
      <c r="K3" s="34"/>
      <c r="L3" s="34"/>
      <c r="M3" s="34"/>
      <c r="N3" s="34"/>
      <c r="O3" s="34"/>
      <c r="P3" s="34" t="s">
        <v>722</v>
      </c>
      <c r="Q3" s="34" t="s">
        <v>723</v>
      </c>
      <c r="R3" s="34"/>
      <c r="S3" s="34"/>
      <c r="T3" s="34"/>
      <c r="U3" s="34"/>
      <c r="V3" s="34"/>
      <c r="W3" s="34" t="s">
        <v>725</v>
      </c>
      <c r="X3" s="34" t="s">
        <v>12</v>
      </c>
      <c r="Y3" s="33" t="s">
        <v>1569</v>
      </c>
      <c r="Z3" s="33" t="s">
        <v>1570</v>
      </c>
      <c r="AA3" s="33" t="s">
        <v>1571</v>
      </c>
      <c r="AB3" s="33" t="s">
        <v>48</v>
      </c>
    </row>
    <row r="4" spans="1:28" ht="30" customHeight="1" x14ac:dyDescent="0.3">
      <c r="A4" s="34"/>
      <c r="B4" s="34"/>
      <c r="C4" s="34"/>
      <c r="D4" s="34"/>
      <c r="E4" s="2" t="s">
        <v>1562</v>
      </c>
      <c r="F4" s="2" t="s">
        <v>1563</v>
      </c>
      <c r="G4" s="2" t="s">
        <v>1564</v>
      </c>
      <c r="H4" s="2" t="s">
        <v>1563</v>
      </c>
      <c r="I4" s="2" t="s">
        <v>1565</v>
      </c>
      <c r="J4" s="2" t="s">
        <v>1563</v>
      </c>
      <c r="K4" s="2" t="s">
        <v>1566</v>
      </c>
      <c r="L4" s="2" t="s">
        <v>1563</v>
      </c>
      <c r="M4" s="2" t="s">
        <v>1567</v>
      </c>
      <c r="N4" s="2" t="s">
        <v>1563</v>
      </c>
      <c r="O4" s="2" t="s">
        <v>1568</v>
      </c>
      <c r="P4" s="34"/>
      <c r="Q4" s="2" t="s">
        <v>1562</v>
      </c>
      <c r="R4" s="2" t="s">
        <v>1564</v>
      </c>
      <c r="S4" s="2" t="s">
        <v>1565</v>
      </c>
      <c r="T4" s="2" t="s">
        <v>1566</v>
      </c>
      <c r="U4" s="2" t="s">
        <v>1567</v>
      </c>
      <c r="V4" s="2" t="s">
        <v>1568</v>
      </c>
      <c r="W4" s="34"/>
      <c r="X4" s="34"/>
      <c r="Y4" s="33"/>
      <c r="Z4" s="33"/>
      <c r="AA4" s="33"/>
      <c r="AB4" s="33"/>
    </row>
    <row r="5" spans="1:28" ht="30" customHeight="1" x14ac:dyDescent="0.3">
      <c r="A5" s="5" t="s">
        <v>1500</v>
      </c>
      <c r="B5" s="5" t="s">
        <v>1496</v>
      </c>
      <c r="C5" s="5" t="s">
        <v>1497</v>
      </c>
      <c r="D5" s="12" t="s">
        <v>1498</v>
      </c>
      <c r="E5" s="13">
        <v>0</v>
      </c>
      <c r="F5" s="5" t="s">
        <v>51</v>
      </c>
      <c r="G5" s="13">
        <v>0</v>
      </c>
      <c r="H5" s="5" t="s">
        <v>51</v>
      </c>
      <c r="I5" s="13">
        <v>0</v>
      </c>
      <c r="J5" s="5" t="s">
        <v>51</v>
      </c>
      <c r="K5" s="13">
        <v>0</v>
      </c>
      <c r="L5" s="5" t="s">
        <v>51</v>
      </c>
      <c r="M5" s="13">
        <v>0</v>
      </c>
      <c r="N5" s="5" t="s">
        <v>51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93042</v>
      </c>
      <c r="V5" s="13">
        <v>93042</v>
      </c>
      <c r="W5" s="5" t="s">
        <v>1572</v>
      </c>
      <c r="X5" s="5" t="s">
        <v>1499</v>
      </c>
      <c r="Y5" s="1" t="s">
        <v>51</v>
      </c>
      <c r="Z5" s="1" t="s">
        <v>51</v>
      </c>
      <c r="AA5" s="14"/>
      <c r="AB5" s="1" t="s">
        <v>51</v>
      </c>
    </row>
    <row r="6" spans="1:28" ht="30" customHeight="1" x14ac:dyDescent="0.3">
      <c r="A6" s="5" t="s">
        <v>1520</v>
      </c>
      <c r="B6" s="5" t="s">
        <v>1516</v>
      </c>
      <c r="C6" s="5" t="s">
        <v>1519</v>
      </c>
      <c r="D6" s="12" t="s">
        <v>1498</v>
      </c>
      <c r="E6" s="13">
        <v>0</v>
      </c>
      <c r="F6" s="5" t="s">
        <v>51</v>
      </c>
      <c r="G6" s="13">
        <v>0</v>
      </c>
      <c r="H6" s="5" t="s">
        <v>51</v>
      </c>
      <c r="I6" s="13">
        <v>0</v>
      </c>
      <c r="J6" s="5" t="s">
        <v>51</v>
      </c>
      <c r="K6" s="13">
        <v>0</v>
      </c>
      <c r="L6" s="5" t="s">
        <v>51</v>
      </c>
      <c r="M6" s="13">
        <v>0</v>
      </c>
      <c r="N6" s="5" t="s">
        <v>51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64995</v>
      </c>
      <c r="V6" s="13">
        <v>64995</v>
      </c>
      <c r="W6" s="5" t="s">
        <v>1573</v>
      </c>
      <c r="X6" s="5" t="s">
        <v>1499</v>
      </c>
      <c r="Y6" s="1" t="s">
        <v>51</v>
      </c>
      <c r="Z6" s="1" t="s">
        <v>51</v>
      </c>
      <c r="AA6" s="14"/>
      <c r="AB6" s="1" t="s">
        <v>51</v>
      </c>
    </row>
    <row r="7" spans="1:28" ht="30" customHeight="1" x14ac:dyDescent="0.3">
      <c r="A7" s="5" t="s">
        <v>1533</v>
      </c>
      <c r="B7" s="5" t="s">
        <v>1531</v>
      </c>
      <c r="C7" s="5" t="s">
        <v>1532</v>
      </c>
      <c r="D7" s="12" t="s">
        <v>1498</v>
      </c>
      <c r="E7" s="13">
        <v>0</v>
      </c>
      <c r="F7" s="5" t="s">
        <v>51</v>
      </c>
      <c r="G7" s="13">
        <v>0</v>
      </c>
      <c r="H7" s="5" t="s">
        <v>51</v>
      </c>
      <c r="I7" s="13">
        <v>0</v>
      </c>
      <c r="J7" s="5" t="s">
        <v>51</v>
      </c>
      <c r="K7" s="13">
        <v>0</v>
      </c>
      <c r="L7" s="5" t="s">
        <v>51</v>
      </c>
      <c r="M7" s="13">
        <v>0</v>
      </c>
      <c r="N7" s="5" t="s">
        <v>51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1134</v>
      </c>
      <c r="V7" s="13">
        <v>1134</v>
      </c>
      <c r="W7" s="5" t="s">
        <v>1574</v>
      </c>
      <c r="X7" s="5" t="s">
        <v>1499</v>
      </c>
      <c r="Y7" s="1" t="s">
        <v>51</v>
      </c>
      <c r="Z7" s="1" t="s">
        <v>51</v>
      </c>
      <c r="AA7" s="14"/>
      <c r="AB7" s="1" t="s">
        <v>51</v>
      </c>
    </row>
    <row r="8" spans="1:28" ht="30" customHeight="1" x14ac:dyDescent="0.3">
      <c r="A8" s="5" t="s">
        <v>1483</v>
      </c>
      <c r="B8" s="5" t="s">
        <v>1481</v>
      </c>
      <c r="C8" s="5" t="s">
        <v>1482</v>
      </c>
      <c r="D8" s="12" t="s">
        <v>124</v>
      </c>
      <c r="E8" s="13">
        <v>0</v>
      </c>
      <c r="F8" s="5" t="s">
        <v>51</v>
      </c>
      <c r="G8" s="13">
        <v>29000</v>
      </c>
      <c r="H8" s="5" t="s">
        <v>1575</v>
      </c>
      <c r="I8" s="13">
        <v>48000</v>
      </c>
      <c r="J8" s="5" t="s">
        <v>1576</v>
      </c>
      <c r="K8" s="13">
        <v>0</v>
      </c>
      <c r="L8" s="5" t="s">
        <v>51</v>
      </c>
      <c r="M8" s="13">
        <v>0</v>
      </c>
      <c r="N8" s="5" t="s">
        <v>51</v>
      </c>
      <c r="O8" s="13">
        <v>29000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5" t="s">
        <v>1577</v>
      </c>
      <c r="X8" s="5" t="s">
        <v>903</v>
      </c>
      <c r="Y8" s="1" t="s">
        <v>51</v>
      </c>
      <c r="Z8" s="1" t="s">
        <v>51</v>
      </c>
      <c r="AA8" s="14"/>
      <c r="AB8" s="1" t="s">
        <v>51</v>
      </c>
    </row>
    <row r="9" spans="1:28" ht="30" customHeight="1" x14ac:dyDescent="0.3">
      <c r="A9" s="5" t="s">
        <v>1553</v>
      </c>
      <c r="B9" s="5" t="s">
        <v>1481</v>
      </c>
      <c r="C9" s="5" t="s">
        <v>1552</v>
      </c>
      <c r="D9" s="12" t="s">
        <v>124</v>
      </c>
      <c r="E9" s="13">
        <v>0</v>
      </c>
      <c r="F9" s="5" t="s">
        <v>51</v>
      </c>
      <c r="G9" s="13">
        <v>29000</v>
      </c>
      <c r="H9" s="5" t="s">
        <v>1575</v>
      </c>
      <c r="I9" s="13">
        <v>48000</v>
      </c>
      <c r="J9" s="5" t="s">
        <v>1576</v>
      </c>
      <c r="K9" s="13">
        <v>0</v>
      </c>
      <c r="L9" s="5" t="s">
        <v>51</v>
      </c>
      <c r="M9" s="13">
        <v>0</v>
      </c>
      <c r="N9" s="5" t="s">
        <v>51</v>
      </c>
      <c r="O9" s="13">
        <v>29000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5" t="s">
        <v>1578</v>
      </c>
      <c r="X9" s="5" t="s">
        <v>51</v>
      </c>
      <c r="Y9" s="1" t="s">
        <v>51</v>
      </c>
      <c r="Z9" s="1" t="s">
        <v>51</v>
      </c>
      <c r="AA9" s="14"/>
      <c r="AB9" s="1" t="s">
        <v>51</v>
      </c>
    </row>
    <row r="10" spans="1:28" ht="30" customHeight="1" x14ac:dyDescent="0.3">
      <c r="A10" s="5" t="s">
        <v>904</v>
      </c>
      <c r="B10" s="5" t="s">
        <v>901</v>
      </c>
      <c r="C10" s="5" t="s">
        <v>902</v>
      </c>
      <c r="D10" s="12" t="s">
        <v>124</v>
      </c>
      <c r="E10" s="13">
        <v>0</v>
      </c>
      <c r="F10" s="5" t="s">
        <v>51</v>
      </c>
      <c r="G10" s="13">
        <v>50000</v>
      </c>
      <c r="H10" s="5" t="s">
        <v>1575</v>
      </c>
      <c r="I10" s="13">
        <v>68000</v>
      </c>
      <c r="J10" s="5" t="s">
        <v>1576</v>
      </c>
      <c r="K10" s="13">
        <v>0</v>
      </c>
      <c r="L10" s="5" t="s">
        <v>51</v>
      </c>
      <c r="M10" s="13">
        <v>0</v>
      </c>
      <c r="N10" s="5" t="s">
        <v>51</v>
      </c>
      <c r="O10" s="13">
        <v>50000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5" t="s">
        <v>1579</v>
      </c>
      <c r="X10" s="5" t="s">
        <v>903</v>
      </c>
      <c r="Y10" s="1" t="s">
        <v>51</v>
      </c>
      <c r="Z10" s="1" t="s">
        <v>51</v>
      </c>
      <c r="AA10" s="14"/>
      <c r="AB10" s="1" t="s">
        <v>51</v>
      </c>
    </row>
    <row r="11" spans="1:28" ht="30" customHeight="1" x14ac:dyDescent="0.3">
      <c r="A11" s="5" t="s">
        <v>1550</v>
      </c>
      <c r="B11" s="5" t="s">
        <v>901</v>
      </c>
      <c r="C11" s="5" t="s">
        <v>1549</v>
      </c>
      <c r="D11" s="12" t="s">
        <v>124</v>
      </c>
      <c r="E11" s="13">
        <v>0</v>
      </c>
      <c r="F11" s="5" t="s">
        <v>51</v>
      </c>
      <c r="G11" s="13">
        <v>50000</v>
      </c>
      <c r="H11" s="5" t="s">
        <v>1575</v>
      </c>
      <c r="I11" s="13">
        <v>68000</v>
      </c>
      <c r="J11" s="5" t="s">
        <v>1576</v>
      </c>
      <c r="K11" s="13">
        <v>0</v>
      </c>
      <c r="L11" s="5" t="s">
        <v>51</v>
      </c>
      <c r="M11" s="13">
        <v>0</v>
      </c>
      <c r="N11" s="5" t="s">
        <v>51</v>
      </c>
      <c r="O11" s="13">
        <v>50000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5" t="s">
        <v>1580</v>
      </c>
      <c r="X11" s="5" t="s">
        <v>51</v>
      </c>
      <c r="Y11" s="1" t="s">
        <v>51</v>
      </c>
      <c r="Z11" s="1" t="s">
        <v>51</v>
      </c>
      <c r="AA11" s="14"/>
      <c r="AB11" s="1" t="s">
        <v>51</v>
      </c>
    </row>
    <row r="12" spans="1:28" ht="30" customHeight="1" x14ac:dyDescent="0.3">
      <c r="A12" s="5" t="s">
        <v>1505</v>
      </c>
      <c r="B12" s="5" t="s">
        <v>1502</v>
      </c>
      <c r="C12" s="5" t="s">
        <v>1503</v>
      </c>
      <c r="D12" s="12" t="s">
        <v>1504</v>
      </c>
      <c r="E12" s="13">
        <v>0</v>
      </c>
      <c r="F12" s="5" t="s">
        <v>51</v>
      </c>
      <c r="G12" s="13">
        <v>1596</v>
      </c>
      <c r="H12" s="5" t="s">
        <v>1581</v>
      </c>
      <c r="I12" s="13">
        <v>1788</v>
      </c>
      <c r="J12" s="5" t="s">
        <v>1582</v>
      </c>
      <c r="K12" s="13">
        <v>0</v>
      </c>
      <c r="L12" s="5" t="s">
        <v>51</v>
      </c>
      <c r="M12" s="13">
        <v>0</v>
      </c>
      <c r="N12" s="5" t="s">
        <v>51</v>
      </c>
      <c r="O12" s="13">
        <v>1596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5" t="s">
        <v>1583</v>
      </c>
      <c r="X12" s="5" t="s">
        <v>51</v>
      </c>
      <c r="Y12" s="1" t="s">
        <v>51</v>
      </c>
      <c r="Z12" s="1" t="s">
        <v>51</v>
      </c>
      <c r="AA12" s="14"/>
      <c r="AB12" s="1" t="s">
        <v>51</v>
      </c>
    </row>
    <row r="13" spans="1:28" ht="30" customHeight="1" x14ac:dyDescent="0.3">
      <c r="A13" s="5" t="s">
        <v>1537</v>
      </c>
      <c r="B13" s="5" t="s">
        <v>1535</v>
      </c>
      <c r="C13" s="5" t="s">
        <v>1536</v>
      </c>
      <c r="D13" s="12" t="s">
        <v>1504</v>
      </c>
      <c r="E13" s="13">
        <v>0</v>
      </c>
      <c r="F13" s="5" t="s">
        <v>51</v>
      </c>
      <c r="G13" s="13">
        <v>1656</v>
      </c>
      <c r="H13" s="5" t="s">
        <v>1581</v>
      </c>
      <c r="I13" s="13">
        <v>1898</v>
      </c>
      <c r="J13" s="5" t="s">
        <v>1582</v>
      </c>
      <c r="K13" s="13">
        <v>0</v>
      </c>
      <c r="L13" s="5" t="s">
        <v>51</v>
      </c>
      <c r="M13" s="13">
        <v>0</v>
      </c>
      <c r="N13" s="5" t="s">
        <v>51</v>
      </c>
      <c r="O13" s="13">
        <v>1656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5" t="s">
        <v>1584</v>
      </c>
      <c r="X13" s="5" t="s">
        <v>51</v>
      </c>
      <c r="Y13" s="1" t="s">
        <v>51</v>
      </c>
      <c r="Z13" s="1" t="s">
        <v>51</v>
      </c>
      <c r="AA13" s="14"/>
      <c r="AB13" s="1" t="s">
        <v>51</v>
      </c>
    </row>
    <row r="14" spans="1:28" ht="30" customHeight="1" x14ac:dyDescent="0.3">
      <c r="A14" s="5" t="s">
        <v>1418</v>
      </c>
      <c r="B14" s="5" t="s">
        <v>1416</v>
      </c>
      <c r="C14" s="5" t="s">
        <v>1417</v>
      </c>
      <c r="D14" s="12" t="s">
        <v>1260</v>
      </c>
      <c r="E14" s="13">
        <v>0</v>
      </c>
      <c r="F14" s="5" t="s">
        <v>51</v>
      </c>
      <c r="G14" s="13">
        <v>0</v>
      </c>
      <c r="H14" s="5" t="s">
        <v>51</v>
      </c>
      <c r="I14" s="13">
        <v>0</v>
      </c>
      <c r="J14" s="5" t="s">
        <v>51</v>
      </c>
      <c r="K14" s="13">
        <v>0</v>
      </c>
      <c r="L14" s="5" t="s">
        <v>51</v>
      </c>
      <c r="M14" s="13">
        <v>9282</v>
      </c>
      <c r="N14" s="5" t="s">
        <v>51</v>
      </c>
      <c r="O14" s="13">
        <v>9282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5" t="s">
        <v>1585</v>
      </c>
      <c r="X14" s="5" t="s">
        <v>51</v>
      </c>
      <c r="Y14" s="1" t="s">
        <v>51</v>
      </c>
      <c r="Z14" s="1" t="s">
        <v>51</v>
      </c>
      <c r="AA14" s="14"/>
      <c r="AB14" s="1" t="s">
        <v>51</v>
      </c>
    </row>
    <row r="15" spans="1:28" ht="30" customHeight="1" x14ac:dyDescent="0.3">
      <c r="A15" s="5" t="s">
        <v>1433</v>
      </c>
      <c r="B15" s="5" t="s">
        <v>1430</v>
      </c>
      <c r="C15" s="5" t="s">
        <v>1431</v>
      </c>
      <c r="D15" s="12" t="s">
        <v>1432</v>
      </c>
      <c r="E15" s="13">
        <v>0</v>
      </c>
      <c r="F15" s="5" t="s">
        <v>51</v>
      </c>
      <c r="G15" s="13">
        <v>0</v>
      </c>
      <c r="H15" s="5" t="s">
        <v>51</v>
      </c>
      <c r="I15" s="13">
        <v>0</v>
      </c>
      <c r="J15" s="5" t="s">
        <v>51</v>
      </c>
      <c r="K15" s="13">
        <v>0</v>
      </c>
      <c r="L15" s="5" t="s">
        <v>51</v>
      </c>
      <c r="M15" s="13">
        <v>27297</v>
      </c>
      <c r="N15" s="5" t="s">
        <v>51</v>
      </c>
      <c r="O15" s="13">
        <v>27297</v>
      </c>
      <c r="P15" s="13">
        <v>3700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5" t="s">
        <v>1586</v>
      </c>
      <c r="X15" s="5" t="s">
        <v>51</v>
      </c>
      <c r="Y15" s="1" t="s">
        <v>51</v>
      </c>
      <c r="Z15" s="1" t="s">
        <v>51</v>
      </c>
      <c r="AA15" s="14"/>
      <c r="AB15" s="1" t="s">
        <v>51</v>
      </c>
    </row>
    <row r="16" spans="1:28" ht="30" customHeight="1" x14ac:dyDescent="0.3">
      <c r="A16" s="5" t="s">
        <v>1404</v>
      </c>
      <c r="B16" s="5" t="s">
        <v>846</v>
      </c>
      <c r="C16" s="5" t="s">
        <v>1403</v>
      </c>
      <c r="D16" s="12" t="s">
        <v>65</v>
      </c>
      <c r="E16" s="13">
        <v>921</v>
      </c>
      <c r="F16" s="5" t="s">
        <v>1587</v>
      </c>
      <c r="G16" s="13">
        <v>1172</v>
      </c>
      <c r="H16" s="5" t="s">
        <v>1588</v>
      </c>
      <c r="I16" s="13">
        <v>1255</v>
      </c>
      <c r="J16" s="5" t="s">
        <v>1589</v>
      </c>
      <c r="K16" s="13">
        <v>0</v>
      </c>
      <c r="L16" s="5" t="s">
        <v>51</v>
      </c>
      <c r="M16" s="13">
        <v>0</v>
      </c>
      <c r="N16" s="5" t="s">
        <v>51</v>
      </c>
      <c r="O16" s="13">
        <v>921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5" t="s">
        <v>1590</v>
      </c>
      <c r="X16" s="5" t="s">
        <v>51</v>
      </c>
      <c r="Y16" s="1" t="s">
        <v>51</v>
      </c>
      <c r="Z16" s="1" t="s">
        <v>51</v>
      </c>
      <c r="AA16" s="14"/>
      <c r="AB16" s="1" t="s">
        <v>51</v>
      </c>
    </row>
    <row r="17" spans="1:28" ht="30" customHeight="1" x14ac:dyDescent="0.3">
      <c r="A17" s="5" t="s">
        <v>1374</v>
      </c>
      <c r="B17" s="5" t="s">
        <v>846</v>
      </c>
      <c r="C17" s="5" t="s">
        <v>1373</v>
      </c>
      <c r="D17" s="12" t="s">
        <v>65</v>
      </c>
      <c r="E17" s="13">
        <v>1031</v>
      </c>
      <c r="F17" s="5" t="s">
        <v>1591</v>
      </c>
      <c r="G17" s="13">
        <v>1535</v>
      </c>
      <c r="H17" s="5" t="s">
        <v>1588</v>
      </c>
      <c r="I17" s="13">
        <v>1429</v>
      </c>
      <c r="J17" s="5" t="s">
        <v>1589</v>
      </c>
      <c r="K17" s="13">
        <v>0</v>
      </c>
      <c r="L17" s="5" t="s">
        <v>51</v>
      </c>
      <c r="M17" s="13">
        <v>0</v>
      </c>
      <c r="N17" s="5" t="s">
        <v>51</v>
      </c>
      <c r="O17" s="13">
        <v>1031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5" t="s">
        <v>1592</v>
      </c>
      <c r="X17" s="5" t="s">
        <v>51</v>
      </c>
      <c r="Y17" s="1" t="s">
        <v>51</v>
      </c>
      <c r="Z17" s="1" t="s">
        <v>51</v>
      </c>
      <c r="AA17" s="14"/>
      <c r="AB17" s="1" t="s">
        <v>51</v>
      </c>
    </row>
    <row r="18" spans="1:28" ht="30" customHeight="1" x14ac:dyDescent="0.3">
      <c r="A18" s="5" t="s">
        <v>1004</v>
      </c>
      <c r="B18" s="5" t="s">
        <v>764</v>
      </c>
      <c r="C18" s="5" t="s">
        <v>1003</v>
      </c>
      <c r="D18" s="12" t="s">
        <v>65</v>
      </c>
      <c r="E18" s="13">
        <v>2365</v>
      </c>
      <c r="F18" s="5" t="s">
        <v>1593</v>
      </c>
      <c r="G18" s="13">
        <v>3274</v>
      </c>
      <c r="H18" s="5" t="s">
        <v>1588</v>
      </c>
      <c r="I18" s="13">
        <v>3288</v>
      </c>
      <c r="J18" s="5" t="s">
        <v>1589</v>
      </c>
      <c r="K18" s="13">
        <v>0</v>
      </c>
      <c r="L18" s="5" t="s">
        <v>51</v>
      </c>
      <c r="M18" s="13">
        <v>0</v>
      </c>
      <c r="N18" s="5" t="s">
        <v>51</v>
      </c>
      <c r="O18" s="13">
        <v>2365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5" t="s">
        <v>1594</v>
      </c>
      <c r="X18" s="5" t="s">
        <v>51</v>
      </c>
      <c r="Y18" s="1" t="s">
        <v>51</v>
      </c>
      <c r="Z18" s="1" t="s">
        <v>51</v>
      </c>
      <c r="AA18" s="14"/>
      <c r="AB18" s="1" t="s">
        <v>51</v>
      </c>
    </row>
    <row r="19" spans="1:28" ht="30" customHeight="1" x14ac:dyDescent="0.3">
      <c r="A19" s="5" t="s">
        <v>1011</v>
      </c>
      <c r="B19" s="5" t="s">
        <v>846</v>
      </c>
      <c r="C19" s="5" t="s">
        <v>1010</v>
      </c>
      <c r="D19" s="12" t="s">
        <v>65</v>
      </c>
      <c r="E19" s="13">
        <v>3796</v>
      </c>
      <c r="F19" s="5" t="s">
        <v>1595</v>
      </c>
      <c r="G19" s="13">
        <v>5078</v>
      </c>
      <c r="H19" s="5" t="s">
        <v>1588</v>
      </c>
      <c r="I19" s="13">
        <v>5050</v>
      </c>
      <c r="J19" s="5" t="s">
        <v>1589</v>
      </c>
      <c r="K19" s="13">
        <v>0</v>
      </c>
      <c r="L19" s="5" t="s">
        <v>51</v>
      </c>
      <c r="M19" s="13">
        <v>0</v>
      </c>
      <c r="N19" s="5" t="s">
        <v>51</v>
      </c>
      <c r="O19" s="13">
        <v>3796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5" t="s">
        <v>1596</v>
      </c>
      <c r="X19" s="5" t="s">
        <v>51</v>
      </c>
      <c r="Y19" s="1" t="s">
        <v>51</v>
      </c>
      <c r="Z19" s="1" t="s">
        <v>51</v>
      </c>
      <c r="AA19" s="14"/>
      <c r="AB19" s="1" t="s">
        <v>51</v>
      </c>
    </row>
    <row r="20" spans="1:28" ht="30" customHeight="1" x14ac:dyDescent="0.3">
      <c r="A20" s="5" t="s">
        <v>848</v>
      </c>
      <c r="B20" s="5" t="s">
        <v>846</v>
      </c>
      <c r="C20" s="5" t="s">
        <v>847</v>
      </c>
      <c r="D20" s="12" t="s">
        <v>65</v>
      </c>
      <c r="E20" s="13">
        <v>5377</v>
      </c>
      <c r="F20" s="5" t="s">
        <v>1597</v>
      </c>
      <c r="G20" s="13">
        <v>6905</v>
      </c>
      <c r="H20" s="5" t="s">
        <v>1588</v>
      </c>
      <c r="I20" s="13">
        <v>7132</v>
      </c>
      <c r="J20" s="5" t="s">
        <v>1589</v>
      </c>
      <c r="K20" s="13">
        <v>0</v>
      </c>
      <c r="L20" s="5" t="s">
        <v>51</v>
      </c>
      <c r="M20" s="13">
        <v>0</v>
      </c>
      <c r="N20" s="5" t="s">
        <v>51</v>
      </c>
      <c r="O20" s="13">
        <v>5377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5" t="s">
        <v>1598</v>
      </c>
      <c r="X20" s="5" t="s">
        <v>51</v>
      </c>
      <c r="Y20" s="1" t="s">
        <v>51</v>
      </c>
      <c r="Z20" s="1" t="s">
        <v>51</v>
      </c>
      <c r="AA20" s="14"/>
      <c r="AB20" s="1" t="s">
        <v>51</v>
      </c>
    </row>
    <row r="21" spans="1:28" ht="30" customHeight="1" x14ac:dyDescent="0.3">
      <c r="A21" s="5" t="s">
        <v>1023</v>
      </c>
      <c r="B21" s="5" t="s">
        <v>846</v>
      </c>
      <c r="C21" s="5" t="s">
        <v>1022</v>
      </c>
      <c r="D21" s="12" t="s">
        <v>65</v>
      </c>
      <c r="E21" s="13">
        <v>7083</v>
      </c>
      <c r="F21" s="5" t="s">
        <v>1599</v>
      </c>
      <c r="G21" s="13">
        <v>9307</v>
      </c>
      <c r="H21" s="5" t="s">
        <v>1588</v>
      </c>
      <c r="I21" s="13">
        <v>9695</v>
      </c>
      <c r="J21" s="5" t="s">
        <v>1589</v>
      </c>
      <c r="K21" s="13">
        <v>0</v>
      </c>
      <c r="L21" s="5" t="s">
        <v>51</v>
      </c>
      <c r="M21" s="13">
        <v>0</v>
      </c>
      <c r="N21" s="5" t="s">
        <v>51</v>
      </c>
      <c r="O21" s="13">
        <v>7083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5" t="s">
        <v>1600</v>
      </c>
      <c r="X21" s="5" t="s">
        <v>51</v>
      </c>
      <c r="Y21" s="1" t="s">
        <v>51</v>
      </c>
      <c r="Z21" s="1" t="s">
        <v>51</v>
      </c>
      <c r="AA21" s="14"/>
      <c r="AB21" s="1" t="s">
        <v>51</v>
      </c>
    </row>
    <row r="22" spans="1:28" ht="30" customHeight="1" x14ac:dyDescent="0.3">
      <c r="A22" s="5" t="s">
        <v>1030</v>
      </c>
      <c r="B22" s="5" t="s">
        <v>846</v>
      </c>
      <c r="C22" s="5" t="s">
        <v>1029</v>
      </c>
      <c r="D22" s="12" t="s">
        <v>65</v>
      </c>
      <c r="E22" s="13">
        <v>10058</v>
      </c>
      <c r="F22" s="5" t="s">
        <v>1601</v>
      </c>
      <c r="G22" s="13">
        <v>13178</v>
      </c>
      <c r="H22" s="5" t="s">
        <v>1588</v>
      </c>
      <c r="I22" s="13">
        <v>12444</v>
      </c>
      <c r="J22" s="5" t="s">
        <v>1602</v>
      </c>
      <c r="K22" s="13">
        <v>0</v>
      </c>
      <c r="L22" s="5" t="s">
        <v>51</v>
      </c>
      <c r="M22" s="13">
        <v>0</v>
      </c>
      <c r="N22" s="5" t="s">
        <v>51</v>
      </c>
      <c r="O22" s="13">
        <v>10058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5" t="s">
        <v>1603</v>
      </c>
      <c r="X22" s="5" t="s">
        <v>51</v>
      </c>
      <c r="Y22" s="1" t="s">
        <v>51</v>
      </c>
      <c r="Z22" s="1" t="s">
        <v>51</v>
      </c>
      <c r="AA22" s="14"/>
      <c r="AB22" s="1" t="s">
        <v>51</v>
      </c>
    </row>
    <row r="23" spans="1:28" ht="30" customHeight="1" x14ac:dyDescent="0.3">
      <c r="A23" s="5" t="s">
        <v>1466</v>
      </c>
      <c r="B23" s="5" t="s">
        <v>846</v>
      </c>
      <c r="C23" s="5" t="s">
        <v>1465</v>
      </c>
      <c r="D23" s="12" t="s">
        <v>65</v>
      </c>
      <c r="E23" s="13">
        <v>16965</v>
      </c>
      <c r="F23" s="5" t="s">
        <v>1604</v>
      </c>
      <c r="G23" s="13">
        <v>22701</v>
      </c>
      <c r="H23" s="5" t="s">
        <v>1588</v>
      </c>
      <c r="I23" s="13">
        <v>22474</v>
      </c>
      <c r="J23" s="5" t="s">
        <v>1589</v>
      </c>
      <c r="K23" s="13">
        <v>0</v>
      </c>
      <c r="L23" s="5" t="s">
        <v>51</v>
      </c>
      <c r="M23" s="13">
        <v>0</v>
      </c>
      <c r="N23" s="5" t="s">
        <v>51</v>
      </c>
      <c r="O23" s="13">
        <v>16965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5" t="s">
        <v>1605</v>
      </c>
      <c r="X23" s="5" t="s">
        <v>51</v>
      </c>
      <c r="Y23" s="1" t="s">
        <v>51</v>
      </c>
      <c r="Z23" s="1" t="s">
        <v>51</v>
      </c>
      <c r="AA23" s="14"/>
      <c r="AB23" s="1" t="s">
        <v>51</v>
      </c>
    </row>
    <row r="24" spans="1:28" ht="30" customHeight="1" x14ac:dyDescent="0.3">
      <c r="A24" s="5" t="s">
        <v>766</v>
      </c>
      <c r="B24" s="5" t="s">
        <v>764</v>
      </c>
      <c r="C24" s="5" t="s">
        <v>765</v>
      </c>
      <c r="D24" s="12" t="s">
        <v>65</v>
      </c>
      <c r="E24" s="13">
        <v>12417</v>
      </c>
      <c r="F24" s="5" t="s">
        <v>1606</v>
      </c>
      <c r="G24" s="13">
        <v>12010</v>
      </c>
      <c r="H24" s="5" t="s">
        <v>1607</v>
      </c>
      <c r="I24" s="13">
        <v>21730</v>
      </c>
      <c r="J24" s="5" t="s">
        <v>1608</v>
      </c>
      <c r="K24" s="13">
        <v>0</v>
      </c>
      <c r="L24" s="5" t="s">
        <v>51</v>
      </c>
      <c r="M24" s="13">
        <v>0</v>
      </c>
      <c r="N24" s="5" t="s">
        <v>51</v>
      </c>
      <c r="O24" s="13">
        <v>12010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5" t="s">
        <v>1609</v>
      </c>
      <c r="X24" s="5" t="s">
        <v>51</v>
      </c>
      <c r="Y24" s="1" t="s">
        <v>51</v>
      </c>
      <c r="Z24" s="1" t="s">
        <v>51</v>
      </c>
      <c r="AA24" s="14"/>
      <c r="AB24" s="1" t="s">
        <v>51</v>
      </c>
    </row>
    <row r="25" spans="1:28" ht="30" customHeight="1" x14ac:dyDescent="0.3">
      <c r="A25" s="5" t="s">
        <v>589</v>
      </c>
      <c r="B25" s="5" t="s">
        <v>587</v>
      </c>
      <c r="C25" s="5" t="s">
        <v>588</v>
      </c>
      <c r="D25" s="12" t="s">
        <v>65</v>
      </c>
      <c r="E25" s="13">
        <v>0</v>
      </c>
      <c r="F25" s="5" t="s">
        <v>51</v>
      </c>
      <c r="G25" s="13">
        <v>0</v>
      </c>
      <c r="H25" s="5" t="s">
        <v>51</v>
      </c>
      <c r="I25" s="13">
        <v>0</v>
      </c>
      <c r="J25" s="5" t="s">
        <v>51</v>
      </c>
      <c r="K25" s="13">
        <v>0</v>
      </c>
      <c r="L25" s="5" t="s">
        <v>51</v>
      </c>
      <c r="M25" s="13">
        <v>3048</v>
      </c>
      <c r="N25" s="5" t="s">
        <v>51</v>
      </c>
      <c r="O25" s="13">
        <v>3048</v>
      </c>
      <c r="P25" s="13">
        <v>6292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5" t="s">
        <v>1610</v>
      </c>
      <c r="X25" s="5" t="s">
        <v>51</v>
      </c>
      <c r="Y25" s="1" t="s">
        <v>51</v>
      </c>
      <c r="Z25" s="1" t="s">
        <v>51</v>
      </c>
      <c r="AA25" s="14"/>
      <c r="AB25" s="1" t="s">
        <v>51</v>
      </c>
    </row>
    <row r="26" spans="1:28" ht="30" customHeight="1" x14ac:dyDescent="0.3">
      <c r="A26" s="5" t="s">
        <v>593</v>
      </c>
      <c r="B26" s="5" t="s">
        <v>591</v>
      </c>
      <c r="C26" s="5" t="s">
        <v>592</v>
      </c>
      <c r="D26" s="12" t="s">
        <v>65</v>
      </c>
      <c r="E26" s="13">
        <v>0</v>
      </c>
      <c r="F26" s="5" t="s">
        <v>51</v>
      </c>
      <c r="G26" s="13">
        <v>16070</v>
      </c>
      <c r="H26" s="5" t="s">
        <v>1611</v>
      </c>
      <c r="I26" s="13">
        <v>11953</v>
      </c>
      <c r="J26" s="5" t="s">
        <v>1612</v>
      </c>
      <c r="K26" s="13">
        <v>0</v>
      </c>
      <c r="L26" s="5" t="s">
        <v>51</v>
      </c>
      <c r="M26" s="13">
        <v>10773</v>
      </c>
      <c r="N26" s="5" t="s">
        <v>51</v>
      </c>
      <c r="O26" s="13">
        <v>10773</v>
      </c>
      <c r="P26" s="13">
        <v>2189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5" t="s">
        <v>1613</v>
      </c>
      <c r="X26" s="5" t="s">
        <v>51</v>
      </c>
      <c r="Y26" s="1" t="s">
        <v>51</v>
      </c>
      <c r="Z26" s="1" t="s">
        <v>51</v>
      </c>
      <c r="AA26" s="14"/>
      <c r="AB26" s="1" t="s">
        <v>51</v>
      </c>
    </row>
    <row r="27" spans="1:28" ht="30" customHeight="1" x14ac:dyDescent="0.3">
      <c r="A27" s="5" t="s">
        <v>1261</v>
      </c>
      <c r="B27" s="5" t="s">
        <v>385</v>
      </c>
      <c r="C27" s="5" t="s">
        <v>51</v>
      </c>
      <c r="D27" s="12" t="s">
        <v>1260</v>
      </c>
      <c r="E27" s="13">
        <v>0</v>
      </c>
      <c r="F27" s="5" t="s">
        <v>51</v>
      </c>
      <c r="G27" s="13">
        <v>0</v>
      </c>
      <c r="H27" s="5" t="s">
        <v>51</v>
      </c>
      <c r="I27" s="13">
        <v>0</v>
      </c>
      <c r="J27" s="5" t="s">
        <v>51</v>
      </c>
      <c r="K27" s="13">
        <v>0</v>
      </c>
      <c r="L27" s="5" t="s">
        <v>51</v>
      </c>
      <c r="M27" s="13">
        <v>0</v>
      </c>
      <c r="N27" s="5" t="s">
        <v>51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5" t="s">
        <v>1614</v>
      </c>
      <c r="X27" s="5" t="s">
        <v>51</v>
      </c>
      <c r="Y27" s="1" t="s">
        <v>51</v>
      </c>
      <c r="Z27" s="1" t="s">
        <v>51</v>
      </c>
      <c r="AA27" s="14"/>
      <c r="AB27" s="1" t="s">
        <v>51</v>
      </c>
    </row>
    <row r="28" spans="1:28" ht="30" customHeight="1" x14ac:dyDescent="0.3">
      <c r="A28" s="5" t="s">
        <v>1266</v>
      </c>
      <c r="B28" s="5" t="s">
        <v>390</v>
      </c>
      <c r="C28" s="5" t="s">
        <v>51</v>
      </c>
      <c r="D28" s="12" t="s">
        <v>1260</v>
      </c>
      <c r="E28" s="13">
        <v>0</v>
      </c>
      <c r="F28" s="5" t="s">
        <v>51</v>
      </c>
      <c r="G28" s="13">
        <v>0</v>
      </c>
      <c r="H28" s="5" t="s">
        <v>51</v>
      </c>
      <c r="I28" s="13">
        <v>0</v>
      </c>
      <c r="J28" s="5" t="s">
        <v>51</v>
      </c>
      <c r="K28" s="13">
        <v>0</v>
      </c>
      <c r="L28" s="5" t="s">
        <v>51</v>
      </c>
      <c r="M28" s="13">
        <v>0</v>
      </c>
      <c r="N28" s="5" t="s">
        <v>51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5" t="s">
        <v>1615</v>
      </c>
      <c r="X28" s="5" t="s">
        <v>51</v>
      </c>
      <c r="Y28" s="1" t="s">
        <v>51</v>
      </c>
      <c r="Z28" s="1" t="s">
        <v>51</v>
      </c>
      <c r="AA28" s="14"/>
      <c r="AB28" s="1" t="s">
        <v>51</v>
      </c>
    </row>
    <row r="29" spans="1:28" ht="30" customHeight="1" x14ac:dyDescent="0.3">
      <c r="A29" s="5" t="s">
        <v>1271</v>
      </c>
      <c r="B29" s="5" t="s">
        <v>395</v>
      </c>
      <c r="C29" s="5" t="s">
        <v>51</v>
      </c>
      <c r="D29" s="12" t="s">
        <v>1260</v>
      </c>
      <c r="E29" s="13">
        <v>0</v>
      </c>
      <c r="F29" s="5" t="s">
        <v>51</v>
      </c>
      <c r="G29" s="13">
        <v>0</v>
      </c>
      <c r="H29" s="5" t="s">
        <v>51</v>
      </c>
      <c r="I29" s="13">
        <v>0</v>
      </c>
      <c r="J29" s="5" t="s">
        <v>51</v>
      </c>
      <c r="K29" s="13">
        <v>0</v>
      </c>
      <c r="L29" s="5" t="s">
        <v>51</v>
      </c>
      <c r="M29" s="13">
        <v>0</v>
      </c>
      <c r="N29" s="5" t="s">
        <v>51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5" t="s">
        <v>1616</v>
      </c>
      <c r="X29" s="5" t="s">
        <v>51</v>
      </c>
      <c r="Y29" s="1" t="s">
        <v>51</v>
      </c>
      <c r="Z29" s="1" t="s">
        <v>51</v>
      </c>
      <c r="AA29" s="14"/>
      <c r="AB29" s="1" t="s">
        <v>51</v>
      </c>
    </row>
    <row r="30" spans="1:28" ht="30" customHeight="1" x14ac:dyDescent="0.3">
      <c r="A30" s="5" t="s">
        <v>1276</v>
      </c>
      <c r="B30" s="5" t="s">
        <v>400</v>
      </c>
      <c r="C30" s="5" t="s">
        <v>51</v>
      </c>
      <c r="D30" s="12" t="s">
        <v>1260</v>
      </c>
      <c r="E30" s="13">
        <v>0</v>
      </c>
      <c r="F30" s="5" t="s">
        <v>51</v>
      </c>
      <c r="G30" s="13">
        <v>0</v>
      </c>
      <c r="H30" s="5" t="s">
        <v>51</v>
      </c>
      <c r="I30" s="13">
        <v>0</v>
      </c>
      <c r="J30" s="5" t="s">
        <v>51</v>
      </c>
      <c r="K30" s="13">
        <v>0</v>
      </c>
      <c r="L30" s="5" t="s">
        <v>51</v>
      </c>
      <c r="M30" s="13">
        <v>0</v>
      </c>
      <c r="N30" s="5" t="s">
        <v>51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5" t="s">
        <v>1617</v>
      </c>
      <c r="X30" s="5" t="s">
        <v>51</v>
      </c>
      <c r="Y30" s="1" t="s">
        <v>51</v>
      </c>
      <c r="Z30" s="1" t="s">
        <v>51</v>
      </c>
      <c r="AA30" s="14"/>
      <c r="AB30" s="1" t="s">
        <v>51</v>
      </c>
    </row>
    <row r="31" spans="1:28" ht="30" customHeight="1" x14ac:dyDescent="0.3">
      <c r="A31" s="5" t="s">
        <v>1281</v>
      </c>
      <c r="B31" s="5" t="s">
        <v>405</v>
      </c>
      <c r="C31" s="5" t="s">
        <v>51</v>
      </c>
      <c r="D31" s="12" t="s">
        <v>1260</v>
      </c>
      <c r="E31" s="13">
        <v>0</v>
      </c>
      <c r="F31" s="5" t="s">
        <v>51</v>
      </c>
      <c r="G31" s="13">
        <v>0</v>
      </c>
      <c r="H31" s="5" t="s">
        <v>51</v>
      </c>
      <c r="I31" s="13">
        <v>0</v>
      </c>
      <c r="J31" s="5" t="s">
        <v>51</v>
      </c>
      <c r="K31" s="13">
        <v>0</v>
      </c>
      <c r="L31" s="5" t="s">
        <v>51</v>
      </c>
      <c r="M31" s="13">
        <v>0</v>
      </c>
      <c r="N31" s="5" t="s">
        <v>51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5" t="s">
        <v>1618</v>
      </c>
      <c r="X31" s="5" t="s">
        <v>51</v>
      </c>
      <c r="Y31" s="1" t="s">
        <v>51</v>
      </c>
      <c r="Z31" s="1" t="s">
        <v>51</v>
      </c>
      <c r="AA31" s="14"/>
      <c r="AB31" s="1" t="s">
        <v>51</v>
      </c>
    </row>
    <row r="32" spans="1:28" ht="30" customHeight="1" x14ac:dyDescent="0.3">
      <c r="A32" s="5" t="s">
        <v>1334</v>
      </c>
      <c r="B32" s="5" t="s">
        <v>477</v>
      </c>
      <c r="C32" s="5" t="s">
        <v>51</v>
      </c>
      <c r="D32" s="12" t="s">
        <v>1260</v>
      </c>
      <c r="E32" s="13">
        <v>0</v>
      </c>
      <c r="F32" s="5" t="s">
        <v>51</v>
      </c>
      <c r="G32" s="13">
        <v>0</v>
      </c>
      <c r="H32" s="5" t="s">
        <v>51</v>
      </c>
      <c r="I32" s="13">
        <v>0</v>
      </c>
      <c r="J32" s="5" t="s">
        <v>51</v>
      </c>
      <c r="K32" s="13">
        <v>0</v>
      </c>
      <c r="L32" s="5" t="s">
        <v>51</v>
      </c>
      <c r="M32" s="13">
        <v>0</v>
      </c>
      <c r="N32" s="5" t="s">
        <v>51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5" t="s">
        <v>1619</v>
      </c>
      <c r="X32" s="5" t="s">
        <v>51</v>
      </c>
      <c r="Y32" s="1" t="s">
        <v>51</v>
      </c>
      <c r="Z32" s="1" t="s">
        <v>51</v>
      </c>
      <c r="AA32" s="14"/>
      <c r="AB32" s="1" t="s">
        <v>51</v>
      </c>
    </row>
    <row r="33" spans="1:28" ht="30" customHeight="1" x14ac:dyDescent="0.3">
      <c r="A33" s="5" t="s">
        <v>1347</v>
      </c>
      <c r="B33" s="5" t="s">
        <v>490</v>
      </c>
      <c r="C33" s="5" t="s">
        <v>51</v>
      </c>
      <c r="D33" s="12" t="s">
        <v>1260</v>
      </c>
      <c r="E33" s="13">
        <v>0</v>
      </c>
      <c r="F33" s="5" t="s">
        <v>51</v>
      </c>
      <c r="G33" s="13">
        <v>0</v>
      </c>
      <c r="H33" s="5" t="s">
        <v>51</v>
      </c>
      <c r="I33" s="13">
        <v>0</v>
      </c>
      <c r="J33" s="5" t="s">
        <v>51</v>
      </c>
      <c r="K33" s="13">
        <v>0</v>
      </c>
      <c r="L33" s="5" t="s">
        <v>51</v>
      </c>
      <c r="M33" s="13">
        <v>0</v>
      </c>
      <c r="N33" s="5" t="s">
        <v>51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5" t="s">
        <v>1620</v>
      </c>
      <c r="X33" s="5" t="s">
        <v>51</v>
      </c>
      <c r="Y33" s="1" t="s">
        <v>51</v>
      </c>
      <c r="Z33" s="1" t="s">
        <v>51</v>
      </c>
      <c r="AA33" s="14"/>
      <c r="AB33" s="1" t="s">
        <v>51</v>
      </c>
    </row>
    <row r="34" spans="1:28" ht="30" customHeight="1" x14ac:dyDescent="0.3">
      <c r="A34" s="5" t="s">
        <v>1353</v>
      </c>
      <c r="B34" s="5" t="s">
        <v>1352</v>
      </c>
      <c r="C34" s="5" t="s">
        <v>495</v>
      </c>
      <c r="D34" s="12" t="s">
        <v>1260</v>
      </c>
      <c r="E34" s="13">
        <v>0</v>
      </c>
      <c r="F34" s="5" t="s">
        <v>51</v>
      </c>
      <c r="G34" s="13">
        <v>0</v>
      </c>
      <c r="H34" s="5" t="s">
        <v>51</v>
      </c>
      <c r="I34" s="13">
        <v>0</v>
      </c>
      <c r="J34" s="5" t="s">
        <v>51</v>
      </c>
      <c r="K34" s="13">
        <v>0</v>
      </c>
      <c r="L34" s="5" t="s">
        <v>51</v>
      </c>
      <c r="M34" s="13">
        <v>0</v>
      </c>
      <c r="N34" s="5" t="s">
        <v>51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5" t="s">
        <v>1621</v>
      </c>
      <c r="X34" s="5" t="s">
        <v>51</v>
      </c>
      <c r="Y34" s="1" t="s">
        <v>51</v>
      </c>
      <c r="Z34" s="1" t="s">
        <v>51</v>
      </c>
      <c r="AA34" s="14"/>
      <c r="AB34" s="1" t="s">
        <v>51</v>
      </c>
    </row>
    <row r="35" spans="1:28" ht="30" customHeight="1" x14ac:dyDescent="0.3">
      <c r="A35" s="5" t="s">
        <v>883</v>
      </c>
      <c r="B35" s="5" t="s">
        <v>106</v>
      </c>
      <c r="C35" s="5" t="s">
        <v>882</v>
      </c>
      <c r="D35" s="12" t="s">
        <v>65</v>
      </c>
      <c r="E35" s="13">
        <v>17478</v>
      </c>
      <c r="F35" s="5" t="s">
        <v>1622</v>
      </c>
      <c r="G35" s="13">
        <v>23403</v>
      </c>
      <c r="H35" s="5" t="s">
        <v>1623</v>
      </c>
      <c r="I35" s="13">
        <v>23446</v>
      </c>
      <c r="J35" s="5" t="s">
        <v>1624</v>
      </c>
      <c r="K35" s="13">
        <v>0</v>
      </c>
      <c r="L35" s="5" t="s">
        <v>51</v>
      </c>
      <c r="M35" s="13">
        <v>0</v>
      </c>
      <c r="N35" s="5" t="s">
        <v>51</v>
      </c>
      <c r="O35" s="13">
        <v>17478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5" t="s">
        <v>1625</v>
      </c>
      <c r="X35" s="5" t="s">
        <v>51</v>
      </c>
      <c r="Y35" s="1" t="s">
        <v>51</v>
      </c>
      <c r="Z35" s="1" t="s">
        <v>51</v>
      </c>
      <c r="AA35" s="14"/>
      <c r="AB35" s="1" t="s">
        <v>51</v>
      </c>
    </row>
    <row r="36" spans="1:28" ht="30" customHeight="1" x14ac:dyDescent="0.3">
      <c r="A36" s="5" t="s">
        <v>1136</v>
      </c>
      <c r="B36" s="5" t="s">
        <v>106</v>
      </c>
      <c r="C36" s="5" t="s">
        <v>1135</v>
      </c>
      <c r="D36" s="12" t="s">
        <v>65</v>
      </c>
      <c r="E36" s="13">
        <v>12127</v>
      </c>
      <c r="F36" s="5" t="s">
        <v>1626</v>
      </c>
      <c r="G36" s="13">
        <v>13487</v>
      </c>
      <c r="H36" s="5" t="s">
        <v>1588</v>
      </c>
      <c r="I36" s="13">
        <v>13984</v>
      </c>
      <c r="J36" s="5" t="s">
        <v>1627</v>
      </c>
      <c r="K36" s="13">
        <v>0</v>
      </c>
      <c r="L36" s="5" t="s">
        <v>51</v>
      </c>
      <c r="M36" s="13">
        <v>0</v>
      </c>
      <c r="N36" s="5" t="s">
        <v>51</v>
      </c>
      <c r="O36" s="13">
        <v>12127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5" t="s">
        <v>1628</v>
      </c>
      <c r="X36" s="5" t="s">
        <v>51</v>
      </c>
      <c r="Y36" s="1" t="s">
        <v>51</v>
      </c>
      <c r="Z36" s="1" t="s">
        <v>51</v>
      </c>
      <c r="AA36" s="14"/>
      <c r="AB36" s="1" t="s">
        <v>51</v>
      </c>
    </row>
    <row r="37" spans="1:28" ht="30" customHeight="1" x14ac:dyDescent="0.3">
      <c r="A37" s="5" t="s">
        <v>977</v>
      </c>
      <c r="B37" s="5" t="s">
        <v>106</v>
      </c>
      <c r="C37" s="5" t="s">
        <v>976</v>
      </c>
      <c r="D37" s="12" t="s">
        <v>65</v>
      </c>
      <c r="E37" s="13">
        <v>40247</v>
      </c>
      <c r="F37" s="5" t="s">
        <v>1629</v>
      </c>
      <c r="G37" s="13">
        <v>45867</v>
      </c>
      <c r="H37" s="5" t="s">
        <v>1588</v>
      </c>
      <c r="I37" s="13">
        <v>45638</v>
      </c>
      <c r="J37" s="5" t="s">
        <v>1627</v>
      </c>
      <c r="K37" s="13">
        <v>0</v>
      </c>
      <c r="L37" s="5" t="s">
        <v>51</v>
      </c>
      <c r="M37" s="13">
        <v>0</v>
      </c>
      <c r="N37" s="5" t="s">
        <v>51</v>
      </c>
      <c r="O37" s="13">
        <v>40247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5" t="s">
        <v>1630</v>
      </c>
      <c r="X37" s="5" t="s">
        <v>51</v>
      </c>
      <c r="Y37" s="1" t="s">
        <v>51</v>
      </c>
      <c r="Z37" s="1" t="s">
        <v>51</v>
      </c>
      <c r="AA37" s="14"/>
      <c r="AB37" s="1" t="s">
        <v>51</v>
      </c>
    </row>
    <row r="38" spans="1:28" ht="30" customHeight="1" x14ac:dyDescent="0.3">
      <c r="A38" s="5" t="s">
        <v>1367</v>
      </c>
      <c r="B38" s="5" t="s">
        <v>106</v>
      </c>
      <c r="C38" s="5" t="s">
        <v>1366</v>
      </c>
      <c r="D38" s="12" t="s">
        <v>65</v>
      </c>
      <c r="E38" s="13">
        <v>2772</v>
      </c>
      <c r="F38" s="5" t="s">
        <v>1631</v>
      </c>
      <c r="G38" s="13">
        <v>3101</v>
      </c>
      <c r="H38" s="5" t="s">
        <v>1588</v>
      </c>
      <c r="I38" s="13">
        <v>3256</v>
      </c>
      <c r="J38" s="5" t="s">
        <v>1627</v>
      </c>
      <c r="K38" s="13">
        <v>0</v>
      </c>
      <c r="L38" s="5" t="s">
        <v>51</v>
      </c>
      <c r="M38" s="13">
        <v>0</v>
      </c>
      <c r="N38" s="5" t="s">
        <v>51</v>
      </c>
      <c r="O38" s="13">
        <v>2772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5" t="s">
        <v>1632</v>
      </c>
      <c r="X38" s="5" t="s">
        <v>51</v>
      </c>
      <c r="Y38" s="1" t="s">
        <v>51</v>
      </c>
      <c r="Z38" s="1" t="s">
        <v>51</v>
      </c>
      <c r="AA38" s="14"/>
      <c r="AB38" s="1" t="s">
        <v>51</v>
      </c>
    </row>
    <row r="39" spans="1:28" ht="30" customHeight="1" x14ac:dyDescent="0.3">
      <c r="A39" s="5" t="s">
        <v>1397</v>
      </c>
      <c r="B39" s="5" t="s">
        <v>106</v>
      </c>
      <c r="C39" s="5" t="s">
        <v>1396</v>
      </c>
      <c r="D39" s="12" t="s">
        <v>65</v>
      </c>
      <c r="E39" s="13">
        <v>3380</v>
      </c>
      <c r="F39" s="5" t="s">
        <v>1633</v>
      </c>
      <c r="G39" s="13">
        <v>4068</v>
      </c>
      <c r="H39" s="5" t="s">
        <v>1588</v>
      </c>
      <c r="I39" s="13">
        <v>4036</v>
      </c>
      <c r="J39" s="5" t="s">
        <v>1627</v>
      </c>
      <c r="K39" s="13">
        <v>0</v>
      </c>
      <c r="L39" s="5" t="s">
        <v>51</v>
      </c>
      <c r="M39" s="13">
        <v>0</v>
      </c>
      <c r="N39" s="5" t="s">
        <v>51</v>
      </c>
      <c r="O39" s="13">
        <v>3380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5" t="s">
        <v>1634</v>
      </c>
      <c r="X39" s="5" t="s">
        <v>51</v>
      </c>
      <c r="Y39" s="1" t="s">
        <v>51</v>
      </c>
      <c r="Z39" s="1" t="s">
        <v>51</v>
      </c>
      <c r="AA39" s="14"/>
      <c r="AB39" s="1" t="s">
        <v>51</v>
      </c>
    </row>
    <row r="40" spans="1:28" ht="30" customHeight="1" x14ac:dyDescent="0.3">
      <c r="A40" s="5" t="s">
        <v>1129</v>
      </c>
      <c r="B40" s="5" t="s">
        <v>106</v>
      </c>
      <c r="C40" s="5" t="s">
        <v>1128</v>
      </c>
      <c r="D40" s="12" t="s">
        <v>65</v>
      </c>
      <c r="E40" s="13">
        <v>12452</v>
      </c>
      <c r="F40" s="5" t="s">
        <v>1635</v>
      </c>
      <c r="G40" s="13">
        <v>13153</v>
      </c>
      <c r="H40" s="5" t="s">
        <v>1588</v>
      </c>
      <c r="I40" s="13">
        <v>14459</v>
      </c>
      <c r="J40" s="5" t="s">
        <v>1627</v>
      </c>
      <c r="K40" s="13">
        <v>0</v>
      </c>
      <c r="L40" s="5" t="s">
        <v>51</v>
      </c>
      <c r="M40" s="13">
        <v>0</v>
      </c>
      <c r="N40" s="5" t="s">
        <v>51</v>
      </c>
      <c r="O40" s="13">
        <v>12452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5" t="s">
        <v>1636</v>
      </c>
      <c r="X40" s="5" t="s">
        <v>51</v>
      </c>
      <c r="Y40" s="1" t="s">
        <v>51</v>
      </c>
      <c r="Z40" s="1" t="s">
        <v>51</v>
      </c>
      <c r="AA40" s="14"/>
      <c r="AB40" s="1" t="s">
        <v>51</v>
      </c>
    </row>
    <row r="41" spans="1:28" ht="30" customHeight="1" x14ac:dyDescent="0.3">
      <c r="A41" s="5" t="s">
        <v>1180</v>
      </c>
      <c r="B41" s="5" t="s">
        <v>1178</v>
      </c>
      <c r="C41" s="5" t="s">
        <v>1179</v>
      </c>
      <c r="D41" s="12" t="s">
        <v>65</v>
      </c>
      <c r="E41" s="13">
        <v>551</v>
      </c>
      <c r="F41" s="5" t="s">
        <v>1637</v>
      </c>
      <c r="G41" s="13">
        <v>557</v>
      </c>
      <c r="H41" s="5" t="s">
        <v>1623</v>
      </c>
      <c r="I41" s="13">
        <v>836</v>
      </c>
      <c r="J41" s="5" t="s">
        <v>1589</v>
      </c>
      <c r="K41" s="13">
        <v>0</v>
      </c>
      <c r="L41" s="5" t="s">
        <v>51</v>
      </c>
      <c r="M41" s="13">
        <v>0</v>
      </c>
      <c r="N41" s="5" t="s">
        <v>51</v>
      </c>
      <c r="O41" s="13">
        <v>551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5" t="s">
        <v>1638</v>
      </c>
      <c r="X41" s="5" t="s">
        <v>51</v>
      </c>
      <c r="Y41" s="1" t="s">
        <v>51</v>
      </c>
      <c r="Z41" s="1" t="s">
        <v>51</v>
      </c>
      <c r="AA41" s="14"/>
      <c r="AB41" s="1" t="s">
        <v>51</v>
      </c>
    </row>
    <row r="42" spans="1:28" ht="30" customHeight="1" x14ac:dyDescent="0.3">
      <c r="A42" s="5" t="s">
        <v>1423</v>
      </c>
      <c r="B42" s="5" t="s">
        <v>1420</v>
      </c>
      <c r="C42" s="5" t="s">
        <v>1421</v>
      </c>
      <c r="D42" s="12" t="s">
        <v>1422</v>
      </c>
      <c r="E42" s="13">
        <v>0</v>
      </c>
      <c r="F42" s="5" t="s">
        <v>51</v>
      </c>
      <c r="G42" s="13">
        <v>0</v>
      </c>
      <c r="H42" s="5" t="s">
        <v>51</v>
      </c>
      <c r="I42" s="13">
        <v>0</v>
      </c>
      <c r="J42" s="5" t="s">
        <v>51</v>
      </c>
      <c r="K42" s="13">
        <v>0</v>
      </c>
      <c r="L42" s="5" t="s">
        <v>51</v>
      </c>
      <c r="M42" s="13">
        <v>1010</v>
      </c>
      <c r="N42" s="5" t="s">
        <v>51</v>
      </c>
      <c r="O42" s="13">
        <v>1010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5" t="s">
        <v>1639</v>
      </c>
      <c r="X42" s="5" t="s">
        <v>51</v>
      </c>
      <c r="Y42" s="1" t="s">
        <v>51</v>
      </c>
      <c r="Z42" s="1" t="s">
        <v>51</v>
      </c>
      <c r="AA42" s="14"/>
      <c r="AB42" s="1" t="s">
        <v>51</v>
      </c>
    </row>
    <row r="43" spans="1:28" ht="30" customHeight="1" x14ac:dyDescent="0.3">
      <c r="A43" s="5" t="s">
        <v>1547</v>
      </c>
      <c r="B43" s="5" t="s">
        <v>1545</v>
      </c>
      <c r="C43" s="5" t="s">
        <v>1546</v>
      </c>
      <c r="D43" s="12" t="s">
        <v>613</v>
      </c>
      <c r="E43" s="13">
        <v>0</v>
      </c>
      <c r="F43" s="5" t="s">
        <v>51</v>
      </c>
      <c r="G43" s="13">
        <v>7300</v>
      </c>
      <c r="H43" s="5" t="s">
        <v>1640</v>
      </c>
      <c r="I43" s="13">
        <v>7500</v>
      </c>
      <c r="J43" s="5" t="s">
        <v>1641</v>
      </c>
      <c r="K43" s="13">
        <v>0</v>
      </c>
      <c r="L43" s="5" t="s">
        <v>51</v>
      </c>
      <c r="M43" s="13">
        <v>0</v>
      </c>
      <c r="N43" s="5" t="s">
        <v>51</v>
      </c>
      <c r="O43" s="13">
        <v>7300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5" t="s">
        <v>1642</v>
      </c>
      <c r="X43" s="5" t="s">
        <v>1643</v>
      </c>
      <c r="Y43" s="1" t="s">
        <v>51</v>
      </c>
      <c r="Z43" s="1" t="s">
        <v>51</v>
      </c>
      <c r="AA43" s="14"/>
      <c r="AB43" s="1" t="s">
        <v>51</v>
      </c>
    </row>
    <row r="44" spans="1:28" ht="30" customHeight="1" x14ac:dyDescent="0.3">
      <c r="A44" s="5" t="s">
        <v>916</v>
      </c>
      <c r="B44" s="5" t="s">
        <v>838</v>
      </c>
      <c r="C44" s="5" t="s">
        <v>915</v>
      </c>
      <c r="D44" s="12" t="s">
        <v>835</v>
      </c>
      <c r="E44" s="13">
        <v>0</v>
      </c>
      <c r="F44" s="5" t="s">
        <v>51</v>
      </c>
      <c r="G44" s="13">
        <v>0</v>
      </c>
      <c r="H44" s="5" t="s">
        <v>51</v>
      </c>
      <c r="I44" s="13">
        <v>220000</v>
      </c>
      <c r="J44" s="5" t="s">
        <v>1644</v>
      </c>
      <c r="K44" s="13">
        <v>0</v>
      </c>
      <c r="L44" s="5" t="s">
        <v>51</v>
      </c>
      <c r="M44" s="13">
        <v>0</v>
      </c>
      <c r="N44" s="5" t="s">
        <v>51</v>
      </c>
      <c r="O44" s="13">
        <v>220000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5" t="s">
        <v>1645</v>
      </c>
      <c r="X44" s="5" t="s">
        <v>51</v>
      </c>
      <c r="Y44" s="1" t="s">
        <v>51</v>
      </c>
      <c r="Z44" s="1" t="s">
        <v>51</v>
      </c>
      <c r="AA44" s="14"/>
      <c r="AB44" s="1" t="s">
        <v>51</v>
      </c>
    </row>
    <row r="45" spans="1:28" ht="30" customHeight="1" x14ac:dyDescent="0.3">
      <c r="A45" s="5" t="s">
        <v>840</v>
      </c>
      <c r="B45" s="5" t="s">
        <v>838</v>
      </c>
      <c r="C45" s="5" t="s">
        <v>839</v>
      </c>
      <c r="D45" s="12" t="s">
        <v>835</v>
      </c>
      <c r="E45" s="13">
        <v>0</v>
      </c>
      <c r="F45" s="5" t="s">
        <v>51</v>
      </c>
      <c r="G45" s="13">
        <v>0</v>
      </c>
      <c r="H45" s="5" t="s">
        <v>51</v>
      </c>
      <c r="I45" s="13">
        <v>590000</v>
      </c>
      <c r="J45" s="5" t="s">
        <v>1644</v>
      </c>
      <c r="K45" s="13">
        <v>0</v>
      </c>
      <c r="L45" s="5" t="s">
        <v>51</v>
      </c>
      <c r="M45" s="13">
        <v>0</v>
      </c>
      <c r="N45" s="5" t="s">
        <v>51</v>
      </c>
      <c r="O45" s="13">
        <v>590000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5" t="s">
        <v>1646</v>
      </c>
      <c r="X45" s="5" t="s">
        <v>51</v>
      </c>
      <c r="Y45" s="1" t="s">
        <v>51</v>
      </c>
      <c r="Z45" s="1" t="s">
        <v>51</v>
      </c>
      <c r="AA45" s="14"/>
      <c r="AB45" s="1" t="s">
        <v>51</v>
      </c>
    </row>
    <row r="46" spans="1:28" ht="30" customHeight="1" x14ac:dyDescent="0.3">
      <c r="A46" s="5" t="s">
        <v>836</v>
      </c>
      <c r="B46" s="5" t="s">
        <v>833</v>
      </c>
      <c r="C46" s="5" t="s">
        <v>834</v>
      </c>
      <c r="D46" s="12" t="s">
        <v>835</v>
      </c>
      <c r="E46" s="13">
        <v>0</v>
      </c>
      <c r="F46" s="5" t="s">
        <v>51</v>
      </c>
      <c r="G46" s="13">
        <v>0</v>
      </c>
      <c r="H46" s="5" t="s">
        <v>51</v>
      </c>
      <c r="I46" s="13">
        <v>370000</v>
      </c>
      <c r="J46" s="5" t="s">
        <v>1644</v>
      </c>
      <c r="K46" s="13">
        <v>0</v>
      </c>
      <c r="L46" s="5" t="s">
        <v>51</v>
      </c>
      <c r="M46" s="13">
        <v>0</v>
      </c>
      <c r="N46" s="5" t="s">
        <v>51</v>
      </c>
      <c r="O46" s="13">
        <v>370000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5" t="s">
        <v>1647</v>
      </c>
      <c r="X46" s="5" t="s">
        <v>51</v>
      </c>
      <c r="Y46" s="1" t="s">
        <v>51</v>
      </c>
      <c r="Z46" s="1" t="s">
        <v>51</v>
      </c>
      <c r="AA46" s="14"/>
      <c r="AB46" s="1" t="s">
        <v>51</v>
      </c>
    </row>
    <row r="47" spans="1:28" ht="30" customHeight="1" x14ac:dyDescent="0.3">
      <c r="A47" s="5" t="s">
        <v>717</v>
      </c>
      <c r="B47" s="5" t="s">
        <v>715</v>
      </c>
      <c r="C47" s="5" t="s">
        <v>716</v>
      </c>
      <c r="D47" s="12" t="s">
        <v>58</v>
      </c>
      <c r="E47" s="13">
        <v>0</v>
      </c>
      <c r="F47" s="5" t="s">
        <v>51</v>
      </c>
      <c r="G47" s="13">
        <v>0</v>
      </c>
      <c r="H47" s="5" t="s">
        <v>51</v>
      </c>
      <c r="I47" s="13">
        <v>0</v>
      </c>
      <c r="J47" s="5" t="s">
        <v>51</v>
      </c>
      <c r="K47" s="13">
        <v>0</v>
      </c>
      <c r="L47" s="5" t="s">
        <v>51</v>
      </c>
      <c r="M47" s="13">
        <v>50050000</v>
      </c>
      <c r="N47" s="5" t="s">
        <v>51</v>
      </c>
      <c r="O47" s="13">
        <v>50050000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5" t="s">
        <v>1648</v>
      </c>
      <c r="X47" s="5" t="s">
        <v>51</v>
      </c>
      <c r="Y47" s="1" t="s">
        <v>51</v>
      </c>
      <c r="Z47" s="1" t="s">
        <v>51</v>
      </c>
      <c r="AA47" s="14"/>
      <c r="AB47" s="1" t="s">
        <v>51</v>
      </c>
    </row>
    <row r="48" spans="1:28" ht="30" customHeight="1" x14ac:dyDescent="0.3">
      <c r="A48" s="5" t="s">
        <v>1459</v>
      </c>
      <c r="B48" s="5" t="s">
        <v>1457</v>
      </c>
      <c r="C48" s="5" t="s">
        <v>1458</v>
      </c>
      <c r="D48" s="12" t="s">
        <v>58</v>
      </c>
      <c r="E48" s="13">
        <v>0</v>
      </c>
      <c r="F48" s="5" t="s">
        <v>51</v>
      </c>
      <c r="G48" s="13">
        <v>105</v>
      </c>
      <c r="H48" s="5" t="s">
        <v>1649</v>
      </c>
      <c r="I48" s="13">
        <v>160.6</v>
      </c>
      <c r="J48" s="5" t="s">
        <v>1650</v>
      </c>
      <c r="K48" s="13">
        <v>0</v>
      </c>
      <c r="L48" s="5" t="s">
        <v>51</v>
      </c>
      <c r="M48" s="13">
        <v>0</v>
      </c>
      <c r="N48" s="5" t="s">
        <v>51</v>
      </c>
      <c r="O48" s="13">
        <v>105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5" t="s">
        <v>1651</v>
      </c>
      <c r="X48" s="5" t="s">
        <v>51</v>
      </c>
      <c r="Y48" s="1" t="s">
        <v>51</v>
      </c>
      <c r="Z48" s="1" t="s">
        <v>51</v>
      </c>
      <c r="AA48" s="14"/>
      <c r="AB48" s="1" t="s">
        <v>51</v>
      </c>
    </row>
    <row r="49" spans="1:28" ht="30" customHeight="1" x14ac:dyDescent="0.3">
      <c r="A49" s="5" t="s">
        <v>1101</v>
      </c>
      <c r="B49" s="5" t="s">
        <v>1099</v>
      </c>
      <c r="C49" s="5" t="s">
        <v>1100</v>
      </c>
      <c r="D49" s="12" t="s">
        <v>58</v>
      </c>
      <c r="E49" s="13">
        <v>0</v>
      </c>
      <c r="F49" s="5" t="s">
        <v>51</v>
      </c>
      <c r="G49" s="13">
        <v>1205</v>
      </c>
      <c r="H49" s="5" t="s">
        <v>1649</v>
      </c>
      <c r="I49" s="13">
        <v>1167</v>
      </c>
      <c r="J49" s="5" t="s">
        <v>1652</v>
      </c>
      <c r="K49" s="13">
        <v>0</v>
      </c>
      <c r="L49" s="5" t="s">
        <v>51</v>
      </c>
      <c r="M49" s="13">
        <v>0</v>
      </c>
      <c r="N49" s="5" t="s">
        <v>51</v>
      </c>
      <c r="O49" s="13">
        <v>1167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5" t="s">
        <v>1653</v>
      </c>
      <c r="X49" s="5" t="s">
        <v>51</v>
      </c>
      <c r="Y49" s="1" t="s">
        <v>51</v>
      </c>
      <c r="Z49" s="1" t="s">
        <v>51</v>
      </c>
      <c r="AA49" s="14"/>
      <c r="AB49" s="1" t="s">
        <v>51</v>
      </c>
    </row>
    <row r="50" spans="1:28" ht="30" customHeight="1" x14ac:dyDescent="0.3">
      <c r="A50" s="5" t="s">
        <v>1109</v>
      </c>
      <c r="B50" s="5" t="s">
        <v>1107</v>
      </c>
      <c r="C50" s="5" t="s">
        <v>1108</v>
      </c>
      <c r="D50" s="12" t="s">
        <v>58</v>
      </c>
      <c r="E50" s="13">
        <v>0</v>
      </c>
      <c r="F50" s="5" t="s">
        <v>51</v>
      </c>
      <c r="G50" s="13">
        <v>33.200000000000003</v>
      </c>
      <c r="H50" s="5" t="s">
        <v>1654</v>
      </c>
      <c r="I50" s="13">
        <v>25.1</v>
      </c>
      <c r="J50" s="5" t="s">
        <v>1650</v>
      </c>
      <c r="K50" s="13">
        <v>0</v>
      </c>
      <c r="L50" s="5" t="s">
        <v>51</v>
      </c>
      <c r="M50" s="13">
        <v>0</v>
      </c>
      <c r="N50" s="5" t="s">
        <v>51</v>
      </c>
      <c r="O50" s="13">
        <v>25.1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5" t="s">
        <v>1655</v>
      </c>
      <c r="X50" s="5" t="s">
        <v>51</v>
      </c>
      <c r="Y50" s="1" t="s">
        <v>51</v>
      </c>
      <c r="Z50" s="1" t="s">
        <v>51</v>
      </c>
      <c r="AA50" s="14"/>
      <c r="AB50" s="1" t="s">
        <v>51</v>
      </c>
    </row>
    <row r="51" spans="1:28" ht="30" customHeight="1" x14ac:dyDescent="0.3">
      <c r="A51" s="5" t="s">
        <v>1113</v>
      </c>
      <c r="B51" s="5" t="s">
        <v>1111</v>
      </c>
      <c r="C51" s="5" t="s">
        <v>1112</v>
      </c>
      <c r="D51" s="12" t="s">
        <v>58</v>
      </c>
      <c r="E51" s="13">
        <v>0</v>
      </c>
      <c r="F51" s="5" t="s">
        <v>51</v>
      </c>
      <c r="G51" s="13">
        <v>10.98</v>
      </c>
      <c r="H51" s="5" t="s">
        <v>1656</v>
      </c>
      <c r="I51" s="13">
        <v>9.1999999999999993</v>
      </c>
      <c r="J51" s="5" t="s">
        <v>1652</v>
      </c>
      <c r="K51" s="13">
        <v>0</v>
      </c>
      <c r="L51" s="5" t="s">
        <v>51</v>
      </c>
      <c r="M51" s="13">
        <v>0</v>
      </c>
      <c r="N51" s="5" t="s">
        <v>51</v>
      </c>
      <c r="O51" s="13">
        <v>9.1999999999999993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5" t="s">
        <v>1657</v>
      </c>
      <c r="X51" s="5" t="s">
        <v>51</v>
      </c>
      <c r="Y51" s="1" t="s">
        <v>51</v>
      </c>
      <c r="Z51" s="1" t="s">
        <v>51</v>
      </c>
      <c r="AA51" s="14"/>
      <c r="AB51" s="1" t="s">
        <v>51</v>
      </c>
    </row>
    <row r="52" spans="1:28" ht="30" customHeight="1" x14ac:dyDescent="0.3">
      <c r="A52" s="5" t="s">
        <v>1105</v>
      </c>
      <c r="B52" s="5" t="s">
        <v>1103</v>
      </c>
      <c r="C52" s="5" t="s">
        <v>1104</v>
      </c>
      <c r="D52" s="12" t="s">
        <v>58</v>
      </c>
      <c r="E52" s="13">
        <v>0</v>
      </c>
      <c r="F52" s="5" t="s">
        <v>51</v>
      </c>
      <c r="G52" s="13">
        <v>120</v>
      </c>
      <c r="H52" s="5" t="s">
        <v>1658</v>
      </c>
      <c r="I52" s="13">
        <v>200</v>
      </c>
      <c r="J52" s="5" t="s">
        <v>1659</v>
      </c>
      <c r="K52" s="13">
        <v>0</v>
      </c>
      <c r="L52" s="5" t="s">
        <v>51</v>
      </c>
      <c r="M52" s="13">
        <v>0</v>
      </c>
      <c r="N52" s="5" t="s">
        <v>51</v>
      </c>
      <c r="O52" s="13">
        <v>120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5" t="s">
        <v>1660</v>
      </c>
      <c r="X52" s="5" t="s">
        <v>51</v>
      </c>
      <c r="Y52" s="1" t="s">
        <v>51</v>
      </c>
      <c r="Z52" s="1" t="s">
        <v>51</v>
      </c>
      <c r="AA52" s="14"/>
      <c r="AB52" s="1" t="s">
        <v>51</v>
      </c>
    </row>
    <row r="53" spans="1:28" ht="30" customHeight="1" x14ac:dyDescent="0.3">
      <c r="A53" s="5" t="s">
        <v>679</v>
      </c>
      <c r="B53" s="5" t="s">
        <v>677</v>
      </c>
      <c r="C53" s="5" t="s">
        <v>678</v>
      </c>
      <c r="D53" s="12" t="s">
        <v>58</v>
      </c>
      <c r="E53" s="13">
        <v>0</v>
      </c>
      <c r="F53" s="5" t="s">
        <v>51</v>
      </c>
      <c r="G53" s="13">
        <v>0</v>
      </c>
      <c r="H53" s="5" t="s">
        <v>51</v>
      </c>
      <c r="I53" s="13">
        <v>0</v>
      </c>
      <c r="J53" s="5" t="s">
        <v>51</v>
      </c>
      <c r="K53" s="13">
        <v>0</v>
      </c>
      <c r="L53" s="5" t="s">
        <v>51</v>
      </c>
      <c r="M53" s="13">
        <v>94100</v>
      </c>
      <c r="N53" s="5" t="s">
        <v>51</v>
      </c>
      <c r="O53" s="13">
        <v>94100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5" t="s">
        <v>1661</v>
      </c>
      <c r="X53" s="5" t="s">
        <v>1662</v>
      </c>
      <c r="Y53" s="1" t="s">
        <v>51</v>
      </c>
      <c r="Z53" s="1" t="s">
        <v>51</v>
      </c>
      <c r="AA53" s="14"/>
      <c r="AB53" s="1" t="s">
        <v>51</v>
      </c>
    </row>
    <row r="54" spans="1:28" ht="30" customHeight="1" x14ac:dyDescent="0.3">
      <c r="A54" s="5" t="s">
        <v>683</v>
      </c>
      <c r="B54" s="5" t="s">
        <v>681</v>
      </c>
      <c r="C54" s="5" t="s">
        <v>682</v>
      </c>
      <c r="D54" s="12" t="s">
        <v>58</v>
      </c>
      <c r="E54" s="13">
        <v>0</v>
      </c>
      <c r="F54" s="5" t="s">
        <v>51</v>
      </c>
      <c r="G54" s="13">
        <v>0</v>
      </c>
      <c r="H54" s="5" t="s">
        <v>51</v>
      </c>
      <c r="I54" s="13">
        <v>0</v>
      </c>
      <c r="J54" s="5" t="s">
        <v>51</v>
      </c>
      <c r="K54" s="13">
        <v>0</v>
      </c>
      <c r="L54" s="5" t="s">
        <v>51</v>
      </c>
      <c r="M54" s="13">
        <v>94100</v>
      </c>
      <c r="N54" s="5" t="s">
        <v>51</v>
      </c>
      <c r="O54" s="13">
        <v>94100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5" t="s">
        <v>1663</v>
      </c>
      <c r="X54" s="5" t="s">
        <v>51</v>
      </c>
      <c r="Y54" s="1" t="s">
        <v>51</v>
      </c>
      <c r="Z54" s="1" t="s">
        <v>51</v>
      </c>
      <c r="AA54" s="14"/>
      <c r="AB54" s="1" t="s">
        <v>51</v>
      </c>
    </row>
    <row r="55" spans="1:28" ht="30" customHeight="1" x14ac:dyDescent="0.3">
      <c r="A55" s="5" t="s">
        <v>687</v>
      </c>
      <c r="B55" s="5" t="s">
        <v>685</v>
      </c>
      <c r="C55" s="5" t="s">
        <v>686</v>
      </c>
      <c r="D55" s="12" t="s">
        <v>58</v>
      </c>
      <c r="E55" s="13">
        <v>0</v>
      </c>
      <c r="F55" s="5" t="s">
        <v>51</v>
      </c>
      <c r="G55" s="13">
        <v>0</v>
      </c>
      <c r="H55" s="5" t="s">
        <v>51</v>
      </c>
      <c r="I55" s="13">
        <v>0</v>
      </c>
      <c r="J55" s="5" t="s">
        <v>51</v>
      </c>
      <c r="K55" s="13">
        <v>0</v>
      </c>
      <c r="L55" s="5" t="s">
        <v>51</v>
      </c>
      <c r="M55" s="13">
        <v>48600</v>
      </c>
      <c r="N55" s="5" t="s">
        <v>51</v>
      </c>
      <c r="O55" s="13">
        <v>48600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5" t="s">
        <v>1664</v>
      </c>
      <c r="X55" s="5" t="s">
        <v>51</v>
      </c>
      <c r="Y55" s="1" t="s">
        <v>51</v>
      </c>
      <c r="Z55" s="1" t="s">
        <v>51</v>
      </c>
      <c r="AA55" s="14"/>
      <c r="AB55" s="1" t="s">
        <v>51</v>
      </c>
    </row>
    <row r="56" spans="1:28" ht="30" customHeight="1" x14ac:dyDescent="0.3">
      <c r="A56" s="5" t="s">
        <v>691</v>
      </c>
      <c r="B56" s="5" t="s">
        <v>689</v>
      </c>
      <c r="C56" s="5" t="s">
        <v>690</v>
      </c>
      <c r="D56" s="12" t="s">
        <v>58</v>
      </c>
      <c r="E56" s="13">
        <v>0</v>
      </c>
      <c r="F56" s="5" t="s">
        <v>51</v>
      </c>
      <c r="G56" s="13">
        <v>0</v>
      </c>
      <c r="H56" s="5" t="s">
        <v>51</v>
      </c>
      <c r="I56" s="13">
        <v>0</v>
      </c>
      <c r="J56" s="5" t="s">
        <v>51</v>
      </c>
      <c r="K56" s="13">
        <v>0</v>
      </c>
      <c r="L56" s="5" t="s">
        <v>51</v>
      </c>
      <c r="M56" s="13">
        <v>59000</v>
      </c>
      <c r="N56" s="5" t="s">
        <v>51</v>
      </c>
      <c r="O56" s="13">
        <v>59000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5" t="s">
        <v>1665</v>
      </c>
      <c r="X56" s="5" t="s">
        <v>51</v>
      </c>
      <c r="Y56" s="1" t="s">
        <v>51</v>
      </c>
      <c r="Z56" s="1" t="s">
        <v>51</v>
      </c>
      <c r="AA56" s="14"/>
      <c r="AB56" s="1" t="s">
        <v>51</v>
      </c>
    </row>
    <row r="57" spans="1:28" ht="30" customHeight="1" x14ac:dyDescent="0.3">
      <c r="A57" s="5" t="s">
        <v>695</v>
      </c>
      <c r="B57" s="5" t="s">
        <v>693</v>
      </c>
      <c r="C57" s="5" t="s">
        <v>694</v>
      </c>
      <c r="D57" s="12" t="s">
        <v>58</v>
      </c>
      <c r="E57" s="13">
        <v>0</v>
      </c>
      <c r="F57" s="5" t="s">
        <v>51</v>
      </c>
      <c r="G57" s="13">
        <v>0</v>
      </c>
      <c r="H57" s="5" t="s">
        <v>51</v>
      </c>
      <c r="I57" s="13">
        <v>0</v>
      </c>
      <c r="J57" s="5" t="s">
        <v>51</v>
      </c>
      <c r="K57" s="13">
        <v>0</v>
      </c>
      <c r="L57" s="5" t="s">
        <v>51</v>
      </c>
      <c r="M57" s="13">
        <v>89000</v>
      </c>
      <c r="N57" s="5" t="s">
        <v>51</v>
      </c>
      <c r="O57" s="13">
        <v>89000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5" t="s">
        <v>1666</v>
      </c>
      <c r="X57" s="5" t="s">
        <v>51</v>
      </c>
      <c r="Y57" s="1" t="s">
        <v>51</v>
      </c>
      <c r="Z57" s="1" t="s">
        <v>51</v>
      </c>
      <c r="AA57" s="14"/>
      <c r="AB57" s="1" t="s">
        <v>51</v>
      </c>
    </row>
    <row r="58" spans="1:28" ht="30" customHeight="1" x14ac:dyDescent="0.3">
      <c r="A58" s="5" t="s">
        <v>699</v>
      </c>
      <c r="B58" s="5" t="s">
        <v>697</v>
      </c>
      <c r="C58" s="5" t="s">
        <v>698</v>
      </c>
      <c r="D58" s="12" t="s">
        <v>58</v>
      </c>
      <c r="E58" s="13">
        <v>0</v>
      </c>
      <c r="F58" s="5" t="s">
        <v>51</v>
      </c>
      <c r="G58" s="13">
        <v>0</v>
      </c>
      <c r="H58" s="5" t="s">
        <v>51</v>
      </c>
      <c r="I58" s="13">
        <v>0</v>
      </c>
      <c r="J58" s="5" t="s">
        <v>51</v>
      </c>
      <c r="K58" s="13">
        <v>0</v>
      </c>
      <c r="L58" s="5" t="s">
        <v>51</v>
      </c>
      <c r="M58" s="13">
        <v>66000</v>
      </c>
      <c r="N58" s="5" t="s">
        <v>51</v>
      </c>
      <c r="O58" s="13">
        <v>66000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5" t="s">
        <v>1667</v>
      </c>
      <c r="X58" s="5" t="s">
        <v>51</v>
      </c>
      <c r="Y58" s="1" t="s">
        <v>51</v>
      </c>
      <c r="Z58" s="1" t="s">
        <v>51</v>
      </c>
      <c r="AA58" s="14"/>
      <c r="AB58" s="1" t="s">
        <v>51</v>
      </c>
    </row>
    <row r="59" spans="1:28" ht="30" customHeight="1" x14ac:dyDescent="0.3">
      <c r="A59" s="5" t="s">
        <v>664</v>
      </c>
      <c r="B59" s="5" t="s">
        <v>226</v>
      </c>
      <c r="C59" s="5" t="s">
        <v>51</v>
      </c>
      <c r="D59" s="12" t="s">
        <v>211</v>
      </c>
      <c r="E59" s="13">
        <v>0</v>
      </c>
      <c r="F59" s="5" t="s">
        <v>51</v>
      </c>
      <c r="G59" s="13">
        <v>0</v>
      </c>
      <c r="H59" s="5" t="s">
        <v>51</v>
      </c>
      <c r="I59" s="13">
        <v>0</v>
      </c>
      <c r="J59" s="5" t="s">
        <v>51</v>
      </c>
      <c r="K59" s="13">
        <v>0</v>
      </c>
      <c r="L59" s="5" t="s">
        <v>51</v>
      </c>
      <c r="M59" s="13">
        <v>8890949</v>
      </c>
      <c r="N59" s="5" t="s">
        <v>51</v>
      </c>
      <c r="O59" s="13">
        <v>8890949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5" t="s">
        <v>1668</v>
      </c>
      <c r="X59" s="5" t="s">
        <v>51</v>
      </c>
      <c r="Y59" s="1" t="s">
        <v>51</v>
      </c>
      <c r="Z59" s="1" t="s">
        <v>51</v>
      </c>
      <c r="AA59" s="14"/>
      <c r="AB59" s="1" t="s">
        <v>51</v>
      </c>
    </row>
    <row r="60" spans="1:28" ht="30" customHeight="1" x14ac:dyDescent="0.3">
      <c r="A60" s="5" t="s">
        <v>670</v>
      </c>
      <c r="B60" s="5" t="s">
        <v>210</v>
      </c>
      <c r="C60" s="5" t="s">
        <v>51</v>
      </c>
      <c r="D60" s="12" t="s">
        <v>211</v>
      </c>
      <c r="E60" s="13">
        <v>0</v>
      </c>
      <c r="F60" s="5" t="s">
        <v>51</v>
      </c>
      <c r="G60" s="13">
        <v>0</v>
      </c>
      <c r="H60" s="5" t="s">
        <v>51</v>
      </c>
      <c r="I60" s="13">
        <v>0</v>
      </c>
      <c r="J60" s="5" t="s">
        <v>51</v>
      </c>
      <c r="K60" s="13">
        <v>0</v>
      </c>
      <c r="L60" s="5" t="s">
        <v>51</v>
      </c>
      <c r="M60" s="13">
        <v>433741</v>
      </c>
      <c r="N60" s="5" t="s">
        <v>51</v>
      </c>
      <c r="O60" s="13">
        <v>433741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5" t="s">
        <v>1669</v>
      </c>
      <c r="X60" s="5" t="s">
        <v>51</v>
      </c>
      <c r="Y60" s="1" t="s">
        <v>51</v>
      </c>
      <c r="Z60" s="1" t="s">
        <v>51</v>
      </c>
      <c r="AA60" s="14"/>
      <c r="AB60" s="1" t="s">
        <v>51</v>
      </c>
    </row>
    <row r="61" spans="1:28" ht="30" customHeight="1" x14ac:dyDescent="0.3">
      <c r="A61" s="5" t="s">
        <v>666</v>
      </c>
      <c r="B61" s="5" t="s">
        <v>230</v>
      </c>
      <c r="C61" s="5" t="s">
        <v>51</v>
      </c>
      <c r="D61" s="12" t="s">
        <v>211</v>
      </c>
      <c r="E61" s="13">
        <v>0</v>
      </c>
      <c r="F61" s="5" t="s">
        <v>51</v>
      </c>
      <c r="G61" s="13">
        <v>0</v>
      </c>
      <c r="H61" s="5" t="s">
        <v>51</v>
      </c>
      <c r="I61" s="13">
        <v>0</v>
      </c>
      <c r="J61" s="5" t="s">
        <v>51</v>
      </c>
      <c r="K61" s="13">
        <v>0</v>
      </c>
      <c r="L61" s="5" t="s">
        <v>51</v>
      </c>
      <c r="M61" s="13">
        <v>2823485</v>
      </c>
      <c r="N61" s="5" t="s">
        <v>51</v>
      </c>
      <c r="O61" s="13">
        <v>2823485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5" t="s">
        <v>1670</v>
      </c>
      <c r="X61" s="5" t="s">
        <v>51</v>
      </c>
      <c r="Y61" s="1" t="s">
        <v>51</v>
      </c>
      <c r="Z61" s="1" t="s">
        <v>51</v>
      </c>
      <c r="AA61" s="14"/>
      <c r="AB61" s="1" t="s">
        <v>51</v>
      </c>
    </row>
    <row r="62" spans="1:28" ht="30" customHeight="1" x14ac:dyDescent="0.3">
      <c r="A62" s="5" t="s">
        <v>668</v>
      </c>
      <c r="B62" s="5" t="s">
        <v>234</v>
      </c>
      <c r="C62" s="5" t="s">
        <v>51</v>
      </c>
      <c r="D62" s="12" t="s">
        <v>211</v>
      </c>
      <c r="E62" s="13">
        <v>0</v>
      </c>
      <c r="F62" s="5" t="s">
        <v>51</v>
      </c>
      <c r="G62" s="13">
        <v>0</v>
      </c>
      <c r="H62" s="5" t="s">
        <v>51</v>
      </c>
      <c r="I62" s="13">
        <v>0</v>
      </c>
      <c r="J62" s="5" t="s">
        <v>51</v>
      </c>
      <c r="K62" s="13">
        <v>0</v>
      </c>
      <c r="L62" s="5" t="s">
        <v>51</v>
      </c>
      <c r="M62" s="13">
        <v>3572452</v>
      </c>
      <c r="N62" s="5" t="s">
        <v>51</v>
      </c>
      <c r="O62" s="13">
        <v>3572452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5" t="s">
        <v>1671</v>
      </c>
      <c r="X62" s="5" t="s">
        <v>51</v>
      </c>
      <c r="Y62" s="1" t="s">
        <v>51</v>
      </c>
      <c r="Z62" s="1" t="s">
        <v>51</v>
      </c>
      <c r="AA62" s="14"/>
      <c r="AB62" s="1" t="s">
        <v>51</v>
      </c>
    </row>
    <row r="63" spans="1:28" ht="30" customHeight="1" x14ac:dyDescent="0.3">
      <c r="A63" s="5" t="s">
        <v>672</v>
      </c>
      <c r="B63" s="5" t="s">
        <v>238</v>
      </c>
      <c r="C63" s="5" t="s">
        <v>51</v>
      </c>
      <c r="D63" s="12" t="s">
        <v>211</v>
      </c>
      <c r="E63" s="13">
        <v>0</v>
      </c>
      <c r="F63" s="5" t="s">
        <v>51</v>
      </c>
      <c r="G63" s="13">
        <v>0</v>
      </c>
      <c r="H63" s="5" t="s">
        <v>51</v>
      </c>
      <c r="I63" s="13">
        <v>0</v>
      </c>
      <c r="J63" s="5" t="s">
        <v>51</v>
      </c>
      <c r="K63" s="13">
        <v>0</v>
      </c>
      <c r="L63" s="5" t="s">
        <v>51</v>
      </c>
      <c r="M63" s="13">
        <v>7505237</v>
      </c>
      <c r="N63" s="5" t="s">
        <v>51</v>
      </c>
      <c r="O63" s="13">
        <v>7505237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5" t="s">
        <v>1672</v>
      </c>
      <c r="X63" s="5" t="s">
        <v>51</v>
      </c>
      <c r="Y63" s="1" t="s">
        <v>51</v>
      </c>
      <c r="Z63" s="1" t="s">
        <v>51</v>
      </c>
      <c r="AA63" s="14"/>
      <c r="AB63" s="1" t="s">
        <v>51</v>
      </c>
    </row>
    <row r="64" spans="1:28" ht="30" customHeight="1" x14ac:dyDescent="0.3">
      <c r="A64" s="5" t="s">
        <v>628</v>
      </c>
      <c r="B64" s="5" t="s">
        <v>627</v>
      </c>
      <c r="C64" s="5" t="s">
        <v>51</v>
      </c>
      <c r="D64" s="12" t="s">
        <v>211</v>
      </c>
      <c r="E64" s="13">
        <v>0</v>
      </c>
      <c r="F64" s="5" t="s">
        <v>51</v>
      </c>
      <c r="G64" s="13">
        <v>0</v>
      </c>
      <c r="H64" s="5" t="s">
        <v>51</v>
      </c>
      <c r="I64" s="13">
        <v>0</v>
      </c>
      <c r="J64" s="5" t="s">
        <v>51</v>
      </c>
      <c r="K64" s="13">
        <v>0</v>
      </c>
      <c r="L64" s="5" t="s">
        <v>51</v>
      </c>
      <c r="M64" s="13">
        <v>18660309</v>
      </c>
      <c r="N64" s="5" t="s">
        <v>51</v>
      </c>
      <c r="O64" s="13">
        <v>18660309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5" t="s">
        <v>1673</v>
      </c>
      <c r="X64" s="5" t="s">
        <v>51</v>
      </c>
      <c r="Y64" s="1" t="s">
        <v>51</v>
      </c>
      <c r="Z64" s="1" t="s">
        <v>51</v>
      </c>
      <c r="AA64" s="14"/>
      <c r="AB64" s="1" t="s">
        <v>51</v>
      </c>
    </row>
    <row r="65" spans="1:28" ht="30" customHeight="1" x14ac:dyDescent="0.3">
      <c r="A65" s="5" t="s">
        <v>632</v>
      </c>
      <c r="B65" s="5" t="s">
        <v>630</v>
      </c>
      <c r="C65" s="5" t="s">
        <v>51</v>
      </c>
      <c r="D65" s="12" t="s">
        <v>631</v>
      </c>
      <c r="E65" s="13">
        <v>0</v>
      </c>
      <c r="F65" s="5" t="s">
        <v>51</v>
      </c>
      <c r="G65" s="13">
        <v>0</v>
      </c>
      <c r="H65" s="5" t="s">
        <v>51</v>
      </c>
      <c r="I65" s="13">
        <v>0</v>
      </c>
      <c r="J65" s="5" t="s">
        <v>51</v>
      </c>
      <c r="K65" s="13">
        <v>0</v>
      </c>
      <c r="L65" s="5" t="s">
        <v>51</v>
      </c>
      <c r="M65" s="13">
        <v>19977882</v>
      </c>
      <c r="N65" s="5" t="s">
        <v>51</v>
      </c>
      <c r="O65" s="13">
        <v>19977882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5" t="s">
        <v>1674</v>
      </c>
      <c r="X65" s="5" t="s">
        <v>51</v>
      </c>
      <c r="Y65" s="1" t="s">
        <v>51</v>
      </c>
      <c r="Z65" s="1" t="s">
        <v>51</v>
      </c>
      <c r="AA65" s="14"/>
      <c r="AB65" s="1" t="s">
        <v>51</v>
      </c>
    </row>
    <row r="66" spans="1:28" ht="30" customHeight="1" x14ac:dyDescent="0.3">
      <c r="A66" s="5" t="s">
        <v>635</v>
      </c>
      <c r="B66" s="5" t="s">
        <v>634</v>
      </c>
      <c r="C66" s="5" t="s">
        <v>51</v>
      </c>
      <c r="D66" s="12" t="s">
        <v>211</v>
      </c>
      <c r="E66" s="13">
        <v>0</v>
      </c>
      <c r="F66" s="5" t="s">
        <v>51</v>
      </c>
      <c r="G66" s="13">
        <v>0</v>
      </c>
      <c r="H66" s="5" t="s">
        <v>51</v>
      </c>
      <c r="I66" s="13">
        <v>0</v>
      </c>
      <c r="J66" s="5" t="s">
        <v>51</v>
      </c>
      <c r="K66" s="13">
        <v>0</v>
      </c>
      <c r="L66" s="5" t="s">
        <v>51</v>
      </c>
      <c r="M66" s="13">
        <v>49314354</v>
      </c>
      <c r="N66" s="5" t="s">
        <v>51</v>
      </c>
      <c r="O66" s="13">
        <v>49314354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5" t="s">
        <v>1675</v>
      </c>
      <c r="X66" s="5" t="s">
        <v>51</v>
      </c>
      <c r="Y66" s="1" t="s">
        <v>51</v>
      </c>
      <c r="Z66" s="1" t="s">
        <v>51</v>
      </c>
      <c r="AA66" s="14"/>
      <c r="AB66" s="1" t="s">
        <v>51</v>
      </c>
    </row>
    <row r="67" spans="1:28" ht="30" customHeight="1" x14ac:dyDescent="0.3">
      <c r="A67" s="5" t="s">
        <v>638</v>
      </c>
      <c r="B67" s="5" t="s">
        <v>637</v>
      </c>
      <c r="C67" s="5" t="s">
        <v>51</v>
      </c>
      <c r="D67" s="12" t="s">
        <v>211</v>
      </c>
      <c r="E67" s="13">
        <v>0</v>
      </c>
      <c r="F67" s="5" t="s">
        <v>51</v>
      </c>
      <c r="G67" s="13">
        <v>0</v>
      </c>
      <c r="H67" s="5" t="s">
        <v>51</v>
      </c>
      <c r="I67" s="13">
        <v>0</v>
      </c>
      <c r="J67" s="5" t="s">
        <v>51</v>
      </c>
      <c r="K67" s="13">
        <v>0</v>
      </c>
      <c r="L67" s="5" t="s">
        <v>51</v>
      </c>
      <c r="M67" s="13">
        <v>44944548</v>
      </c>
      <c r="N67" s="5" t="s">
        <v>51</v>
      </c>
      <c r="O67" s="13">
        <v>44944548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5" t="s">
        <v>1676</v>
      </c>
      <c r="X67" s="5" t="s">
        <v>51</v>
      </c>
      <c r="Y67" s="1" t="s">
        <v>51</v>
      </c>
      <c r="Z67" s="1" t="s">
        <v>51</v>
      </c>
      <c r="AA67" s="14"/>
      <c r="AB67" s="1" t="s">
        <v>51</v>
      </c>
    </row>
    <row r="68" spans="1:28" ht="30" customHeight="1" x14ac:dyDescent="0.3">
      <c r="A68" s="5" t="s">
        <v>641</v>
      </c>
      <c r="B68" s="5" t="s">
        <v>640</v>
      </c>
      <c r="C68" s="5" t="s">
        <v>51</v>
      </c>
      <c r="D68" s="12" t="s">
        <v>211</v>
      </c>
      <c r="E68" s="13">
        <v>0</v>
      </c>
      <c r="F68" s="5" t="s">
        <v>51</v>
      </c>
      <c r="G68" s="13">
        <v>0</v>
      </c>
      <c r="H68" s="5" t="s">
        <v>51</v>
      </c>
      <c r="I68" s="13">
        <v>0</v>
      </c>
      <c r="J68" s="5" t="s">
        <v>51</v>
      </c>
      <c r="K68" s="13">
        <v>0</v>
      </c>
      <c r="L68" s="5" t="s">
        <v>51</v>
      </c>
      <c r="M68" s="13">
        <v>58116914</v>
      </c>
      <c r="N68" s="5" t="s">
        <v>51</v>
      </c>
      <c r="O68" s="13">
        <v>58116914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5" t="s">
        <v>1677</v>
      </c>
      <c r="X68" s="5" t="s">
        <v>51</v>
      </c>
      <c r="Y68" s="1" t="s">
        <v>51</v>
      </c>
      <c r="Z68" s="1" t="s">
        <v>51</v>
      </c>
      <c r="AA68" s="14"/>
      <c r="AB68" s="1" t="s">
        <v>51</v>
      </c>
    </row>
    <row r="69" spans="1:28" ht="30" customHeight="1" x14ac:dyDescent="0.3">
      <c r="A69" s="5" t="s">
        <v>644</v>
      </c>
      <c r="B69" s="5" t="s">
        <v>643</v>
      </c>
      <c r="C69" s="5" t="s">
        <v>51</v>
      </c>
      <c r="D69" s="12" t="s">
        <v>211</v>
      </c>
      <c r="E69" s="13">
        <v>0</v>
      </c>
      <c r="F69" s="5" t="s">
        <v>51</v>
      </c>
      <c r="G69" s="13">
        <v>0</v>
      </c>
      <c r="H69" s="5" t="s">
        <v>51</v>
      </c>
      <c r="I69" s="13">
        <v>0</v>
      </c>
      <c r="J69" s="5" t="s">
        <v>51</v>
      </c>
      <c r="K69" s="13">
        <v>0</v>
      </c>
      <c r="L69" s="5" t="s">
        <v>51</v>
      </c>
      <c r="M69" s="13">
        <v>18806034</v>
      </c>
      <c r="N69" s="5" t="s">
        <v>51</v>
      </c>
      <c r="O69" s="13">
        <v>18806034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5" t="s">
        <v>1678</v>
      </c>
      <c r="X69" s="5" t="s">
        <v>51</v>
      </c>
      <c r="Y69" s="1" t="s">
        <v>51</v>
      </c>
      <c r="Z69" s="1" t="s">
        <v>51</v>
      </c>
      <c r="AA69" s="14"/>
      <c r="AB69" s="1" t="s">
        <v>51</v>
      </c>
    </row>
    <row r="70" spans="1:28" ht="30" customHeight="1" x14ac:dyDescent="0.3">
      <c r="A70" s="5" t="s">
        <v>647</v>
      </c>
      <c r="B70" s="5" t="s">
        <v>646</v>
      </c>
      <c r="C70" s="5" t="s">
        <v>51</v>
      </c>
      <c r="D70" s="12" t="s">
        <v>211</v>
      </c>
      <c r="E70" s="13">
        <v>0</v>
      </c>
      <c r="F70" s="5" t="s">
        <v>51</v>
      </c>
      <c r="G70" s="13">
        <v>0</v>
      </c>
      <c r="H70" s="5" t="s">
        <v>51</v>
      </c>
      <c r="I70" s="13">
        <v>0</v>
      </c>
      <c r="J70" s="5" t="s">
        <v>51</v>
      </c>
      <c r="K70" s="13">
        <v>0</v>
      </c>
      <c r="L70" s="5" t="s">
        <v>51</v>
      </c>
      <c r="M70" s="13">
        <v>24534305</v>
      </c>
      <c r="N70" s="5" t="s">
        <v>51</v>
      </c>
      <c r="O70" s="13">
        <v>24534305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5" t="s">
        <v>1679</v>
      </c>
      <c r="X70" s="5" t="s">
        <v>51</v>
      </c>
      <c r="Y70" s="1" t="s">
        <v>51</v>
      </c>
      <c r="Z70" s="1" t="s">
        <v>51</v>
      </c>
      <c r="AA70" s="14"/>
      <c r="AB70" s="1" t="s">
        <v>51</v>
      </c>
    </row>
    <row r="71" spans="1:28" ht="30" customHeight="1" x14ac:dyDescent="0.3">
      <c r="A71" s="5" t="s">
        <v>650</v>
      </c>
      <c r="B71" s="5" t="s">
        <v>649</v>
      </c>
      <c r="C71" s="5" t="s">
        <v>51</v>
      </c>
      <c r="D71" s="12" t="s">
        <v>211</v>
      </c>
      <c r="E71" s="13">
        <v>0</v>
      </c>
      <c r="F71" s="5" t="s">
        <v>51</v>
      </c>
      <c r="G71" s="13">
        <v>0</v>
      </c>
      <c r="H71" s="5" t="s">
        <v>51</v>
      </c>
      <c r="I71" s="13">
        <v>0</v>
      </c>
      <c r="J71" s="5" t="s">
        <v>51</v>
      </c>
      <c r="K71" s="13">
        <v>0</v>
      </c>
      <c r="L71" s="5" t="s">
        <v>51</v>
      </c>
      <c r="M71" s="13">
        <v>21128175</v>
      </c>
      <c r="N71" s="5" t="s">
        <v>51</v>
      </c>
      <c r="O71" s="13">
        <v>21128175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5" t="s">
        <v>1680</v>
      </c>
      <c r="X71" s="5" t="s">
        <v>51</v>
      </c>
      <c r="Y71" s="1" t="s">
        <v>51</v>
      </c>
      <c r="Z71" s="1" t="s">
        <v>51</v>
      </c>
      <c r="AA71" s="14"/>
      <c r="AB71" s="1" t="s">
        <v>51</v>
      </c>
    </row>
    <row r="72" spans="1:28" ht="30" customHeight="1" x14ac:dyDescent="0.3">
      <c r="A72" s="5" t="s">
        <v>653</v>
      </c>
      <c r="B72" s="5" t="s">
        <v>652</v>
      </c>
      <c r="C72" s="5" t="s">
        <v>51</v>
      </c>
      <c r="D72" s="12" t="s">
        <v>631</v>
      </c>
      <c r="E72" s="13">
        <v>0</v>
      </c>
      <c r="F72" s="5" t="s">
        <v>51</v>
      </c>
      <c r="G72" s="13">
        <v>0</v>
      </c>
      <c r="H72" s="5" t="s">
        <v>51</v>
      </c>
      <c r="I72" s="13">
        <v>0</v>
      </c>
      <c r="J72" s="5" t="s">
        <v>51</v>
      </c>
      <c r="K72" s="13">
        <v>0</v>
      </c>
      <c r="L72" s="5" t="s">
        <v>51</v>
      </c>
      <c r="M72" s="13">
        <v>0</v>
      </c>
      <c r="N72" s="5" t="s">
        <v>51</v>
      </c>
      <c r="O72" s="13">
        <v>0</v>
      </c>
      <c r="P72" s="13">
        <v>25953114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5" t="s">
        <v>1681</v>
      </c>
      <c r="X72" s="5" t="s">
        <v>51</v>
      </c>
      <c r="Y72" s="1" t="s">
        <v>51</v>
      </c>
      <c r="Z72" s="1" t="s">
        <v>51</v>
      </c>
      <c r="AA72" s="14"/>
      <c r="AB72" s="1" t="s">
        <v>51</v>
      </c>
    </row>
    <row r="73" spans="1:28" ht="30" customHeight="1" x14ac:dyDescent="0.3">
      <c r="A73" s="5" t="s">
        <v>662</v>
      </c>
      <c r="B73" s="5" t="s">
        <v>215</v>
      </c>
      <c r="C73" s="5" t="s">
        <v>51</v>
      </c>
      <c r="D73" s="12" t="s">
        <v>211</v>
      </c>
      <c r="E73" s="13">
        <v>0</v>
      </c>
      <c r="F73" s="5" t="s">
        <v>51</v>
      </c>
      <c r="G73" s="13">
        <v>0</v>
      </c>
      <c r="H73" s="5" t="s">
        <v>51</v>
      </c>
      <c r="I73" s="13">
        <v>0</v>
      </c>
      <c r="J73" s="5" t="s">
        <v>51</v>
      </c>
      <c r="K73" s="13">
        <v>0</v>
      </c>
      <c r="L73" s="5" t="s">
        <v>51</v>
      </c>
      <c r="M73" s="13">
        <v>3043114</v>
      </c>
      <c r="N73" s="5" t="s">
        <v>51</v>
      </c>
      <c r="O73" s="13">
        <v>3043114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5" t="s">
        <v>1682</v>
      </c>
      <c r="X73" s="5" t="s">
        <v>51</v>
      </c>
      <c r="Y73" s="1" t="s">
        <v>51</v>
      </c>
      <c r="Z73" s="1" t="s">
        <v>51</v>
      </c>
      <c r="AA73" s="14"/>
      <c r="AB73" s="1" t="s">
        <v>51</v>
      </c>
    </row>
    <row r="74" spans="1:28" ht="30" customHeight="1" x14ac:dyDescent="0.3">
      <c r="A74" s="5" t="s">
        <v>1211</v>
      </c>
      <c r="B74" s="5" t="s">
        <v>160</v>
      </c>
      <c r="C74" s="5" t="s">
        <v>1210</v>
      </c>
      <c r="D74" s="12" t="s">
        <v>58</v>
      </c>
      <c r="E74" s="13">
        <v>2861</v>
      </c>
      <c r="F74" s="5" t="s">
        <v>1683</v>
      </c>
      <c r="G74" s="13">
        <v>3370</v>
      </c>
      <c r="H74" s="5" t="s">
        <v>1684</v>
      </c>
      <c r="I74" s="13">
        <v>3520</v>
      </c>
      <c r="J74" s="5" t="s">
        <v>1685</v>
      </c>
      <c r="K74" s="13">
        <v>0</v>
      </c>
      <c r="L74" s="5" t="s">
        <v>51</v>
      </c>
      <c r="M74" s="13">
        <v>0</v>
      </c>
      <c r="N74" s="5" t="s">
        <v>51</v>
      </c>
      <c r="O74" s="13">
        <v>2861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5" t="s">
        <v>1686</v>
      </c>
      <c r="X74" s="5" t="s">
        <v>51</v>
      </c>
      <c r="Y74" s="1" t="s">
        <v>51</v>
      </c>
      <c r="Z74" s="1" t="s">
        <v>51</v>
      </c>
      <c r="AA74" s="14"/>
      <c r="AB74" s="1" t="s">
        <v>51</v>
      </c>
    </row>
    <row r="75" spans="1:28" ht="30" customHeight="1" x14ac:dyDescent="0.3">
      <c r="A75" s="5" t="s">
        <v>957</v>
      </c>
      <c r="B75" s="5" t="s">
        <v>160</v>
      </c>
      <c r="C75" s="5" t="s">
        <v>956</v>
      </c>
      <c r="D75" s="12" t="s">
        <v>58</v>
      </c>
      <c r="E75" s="13">
        <v>21019</v>
      </c>
      <c r="F75" s="5" t="s">
        <v>1687</v>
      </c>
      <c r="G75" s="13">
        <v>31900</v>
      </c>
      <c r="H75" s="5" t="s">
        <v>1684</v>
      </c>
      <c r="I75" s="13">
        <v>24730</v>
      </c>
      <c r="J75" s="5" t="s">
        <v>1685</v>
      </c>
      <c r="K75" s="13">
        <v>0</v>
      </c>
      <c r="L75" s="5" t="s">
        <v>51</v>
      </c>
      <c r="M75" s="13">
        <v>0</v>
      </c>
      <c r="N75" s="5" t="s">
        <v>51</v>
      </c>
      <c r="O75" s="13">
        <v>21019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5" t="s">
        <v>1688</v>
      </c>
      <c r="X75" s="5" t="s">
        <v>51</v>
      </c>
      <c r="Y75" s="1" t="s">
        <v>51</v>
      </c>
      <c r="Z75" s="1" t="s">
        <v>51</v>
      </c>
      <c r="AA75" s="14"/>
      <c r="AB75" s="1" t="s">
        <v>51</v>
      </c>
    </row>
    <row r="76" spans="1:28" ht="30" customHeight="1" x14ac:dyDescent="0.3">
      <c r="A76" s="5" t="s">
        <v>597</v>
      </c>
      <c r="B76" s="5" t="s">
        <v>595</v>
      </c>
      <c r="C76" s="5" t="s">
        <v>596</v>
      </c>
      <c r="D76" s="12" t="s">
        <v>58</v>
      </c>
      <c r="E76" s="13">
        <v>0</v>
      </c>
      <c r="F76" s="5" t="s">
        <v>51</v>
      </c>
      <c r="G76" s="13">
        <v>0</v>
      </c>
      <c r="H76" s="5" t="s">
        <v>51</v>
      </c>
      <c r="I76" s="13">
        <v>0</v>
      </c>
      <c r="J76" s="5" t="s">
        <v>51</v>
      </c>
      <c r="K76" s="13">
        <v>0</v>
      </c>
      <c r="L76" s="5" t="s">
        <v>51</v>
      </c>
      <c r="M76" s="13">
        <v>255000</v>
      </c>
      <c r="N76" s="5" t="s">
        <v>51</v>
      </c>
      <c r="O76" s="13">
        <v>255000</v>
      </c>
      <c r="P76" s="13">
        <v>180536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5" t="s">
        <v>1689</v>
      </c>
      <c r="X76" s="5" t="s">
        <v>51</v>
      </c>
      <c r="Y76" s="1" t="s">
        <v>51</v>
      </c>
      <c r="Z76" s="1" t="s">
        <v>51</v>
      </c>
      <c r="AA76" s="14"/>
      <c r="AB76" s="1" t="s">
        <v>51</v>
      </c>
    </row>
    <row r="77" spans="1:28" ht="30" customHeight="1" x14ac:dyDescent="0.3">
      <c r="A77" s="5" t="s">
        <v>1166</v>
      </c>
      <c r="B77" s="5" t="s">
        <v>289</v>
      </c>
      <c r="C77" s="5" t="s">
        <v>1165</v>
      </c>
      <c r="D77" s="12" t="s">
        <v>58</v>
      </c>
      <c r="E77" s="13">
        <v>591</v>
      </c>
      <c r="F77" s="5" t="s">
        <v>1690</v>
      </c>
      <c r="G77" s="13">
        <v>650</v>
      </c>
      <c r="H77" s="5" t="s">
        <v>1684</v>
      </c>
      <c r="I77" s="13">
        <v>700</v>
      </c>
      <c r="J77" s="5" t="s">
        <v>1685</v>
      </c>
      <c r="K77" s="13">
        <v>0</v>
      </c>
      <c r="L77" s="5" t="s">
        <v>51</v>
      </c>
      <c r="M77" s="13">
        <v>0</v>
      </c>
      <c r="N77" s="5" t="s">
        <v>51</v>
      </c>
      <c r="O77" s="13">
        <v>591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5" t="s">
        <v>1691</v>
      </c>
      <c r="X77" s="5" t="s">
        <v>51</v>
      </c>
      <c r="Y77" s="1" t="s">
        <v>51</v>
      </c>
      <c r="Z77" s="1" t="s">
        <v>51</v>
      </c>
      <c r="AA77" s="14"/>
      <c r="AB77" s="1" t="s">
        <v>51</v>
      </c>
    </row>
    <row r="78" spans="1:28" ht="30" customHeight="1" x14ac:dyDescent="0.3">
      <c r="A78" s="5" t="s">
        <v>1240</v>
      </c>
      <c r="B78" s="5" t="s">
        <v>1171</v>
      </c>
      <c r="C78" s="5" t="s">
        <v>1239</v>
      </c>
      <c r="D78" s="12" t="s">
        <v>58</v>
      </c>
      <c r="E78" s="13">
        <v>626</v>
      </c>
      <c r="F78" s="5" t="s">
        <v>1692</v>
      </c>
      <c r="G78" s="13">
        <v>790</v>
      </c>
      <c r="H78" s="5" t="s">
        <v>1684</v>
      </c>
      <c r="I78" s="13">
        <v>845</v>
      </c>
      <c r="J78" s="5" t="s">
        <v>1685</v>
      </c>
      <c r="K78" s="13">
        <v>0</v>
      </c>
      <c r="L78" s="5" t="s">
        <v>51</v>
      </c>
      <c r="M78" s="13">
        <v>0</v>
      </c>
      <c r="N78" s="5" t="s">
        <v>51</v>
      </c>
      <c r="O78" s="13">
        <v>626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5" t="s">
        <v>1693</v>
      </c>
      <c r="X78" s="5" t="s">
        <v>51</v>
      </c>
      <c r="Y78" s="1" t="s">
        <v>51</v>
      </c>
      <c r="Z78" s="1" t="s">
        <v>51</v>
      </c>
      <c r="AA78" s="14"/>
      <c r="AB78" s="1" t="s">
        <v>51</v>
      </c>
    </row>
    <row r="79" spans="1:28" ht="30" customHeight="1" x14ac:dyDescent="0.3">
      <c r="A79" s="5" t="s">
        <v>1173</v>
      </c>
      <c r="B79" s="5" t="s">
        <v>1171</v>
      </c>
      <c r="C79" s="5" t="s">
        <v>1172</v>
      </c>
      <c r="D79" s="12" t="s">
        <v>58</v>
      </c>
      <c r="E79" s="13">
        <v>0</v>
      </c>
      <c r="F79" s="5" t="s">
        <v>51</v>
      </c>
      <c r="G79" s="13">
        <v>3100</v>
      </c>
      <c r="H79" s="5" t="s">
        <v>1684</v>
      </c>
      <c r="I79" s="13">
        <v>3480</v>
      </c>
      <c r="J79" s="5" t="s">
        <v>1685</v>
      </c>
      <c r="K79" s="13">
        <v>0</v>
      </c>
      <c r="L79" s="5" t="s">
        <v>51</v>
      </c>
      <c r="M79" s="13">
        <v>0</v>
      </c>
      <c r="N79" s="5" t="s">
        <v>51</v>
      </c>
      <c r="O79" s="13">
        <v>3100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5" t="s">
        <v>1694</v>
      </c>
      <c r="X79" s="5" t="s">
        <v>51</v>
      </c>
      <c r="Y79" s="1" t="s">
        <v>51</v>
      </c>
      <c r="Z79" s="1" t="s">
        <v>51</v>
      </c>
      <c r="AA79" s="14"/>
      <c r="AB79" s="1" t="s">
        <v>51</v>
      </c>
    </row>
    <row r="80" spans="1:28" ht="30" customHeight="1" x14ac:dyDescent="0.3">
      <c r="A80" s="5" t="s">
        <v>351</v>
      </c>
      <c r="B80" s="5" t="s">
        <v>280</v>
      </c>
      <c r="C80" s="5" t="s">
        <v>350</v>
      </c>
      <c r="D80" s="12" t="s">
        <v>58</v>
      </c>
      <c r="E80" s="13">
        <v>0</v>
      </c>
      <c r="F80" s="5" t="s">
        <v>51</v>
      </c>
      <c r="G80" s="13">
        <v>290</v>
      </c>
      <c r="H80" s="5" t="s">
        <v>1684</v>
      </c>
      <c r="I80" s="13">
        <v>343</v>
      </c>
      <c r="J80" s="5" t="s">
        <v>1685</v>
      </c>
      <c r="K80" s="13">
        <v>0</v>
      </c>
      <c r="L80" s="5" t="s">
        <v>51</v>
      </c>
      <c r="M80" s="13">
        <v>0</v>
      </c>
      <c r="N80" s="5" t="s">
        <v>51</v>
      </c>
      <c r="O80" s="13">
        <v>290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5" t="s">
        <v>1695</v>
      </c>
      <c r="X80" s="5" t="s">
        <v>51</v>
      </c>
      <c r="Y80" s="1" t="s">
        <v>51</v>
      </c>
      <c r="Z80" s="1" t="s">
        <v>51</v>
      </c>
      <c r="AA80" s="14"/>
      <c r="AB80" s="1" t="s">
        <v>51</v>
      </c>
    </row>
    <row r="81" spans="1:28" ht="30" customHeight="1" x14ac:dyDescent="0.3">
      <c r="A81" s="5" t="s">
        <v>282</v>
      </c>
      <c r="B81" s="5" t="s">
        <v>280</v>
      </c>
      <c r="C81" s="5" t="s">
        <v>281</v>
      </c>
      <c r="D81" s="12" t="s">
        <v>58</v>
      </c>
      <c r="E81" s="13">
        <v>0</v>
      </c>
      <c r="F81" s="5" t="s">
        <v>51</v>
      </c>
      <c r="G81" s="13">
        <v>400</v>
      </c>
      <c r="H81" s="5" t="s">
        <v>1684</v>
      </c>
      <c r="I81" s="13">
        <v>0</v>
      </c>
      <c r="J81" s="5" t="s">
        <v>51</v>
      </c>
      <c r="K81" s="13">
        <v>0</v>
      </c>
      <c r="L81" s="5" t="s">
        <v>51</v>
      </c>
      <c r="M81" s="13">
        <v>0</v>
      </c>
      <c r="N81" s="5" t="s">
        <v>51</v>
      </c>
      <c r="O81" s="13">
        <v>400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5" t="s">
        <v>1696</v>
      </c>
      <c r="X81" s="5" t="s">
        <v>51</v>
      </c>
      <c r="Y81" s="1" t="s">
        <v>51</v>
      </c>
      <c r="Z81" s="1" t="s">
        <v>51</v>
      </c>
      <c r="AA81" s="14"/>
      <c r="AB81" s="1" t="s">
        <v>51</v>
      </c>
    </row>
    <row r="82" spans="1:28" ht="30" customHeight="1" x14ac:dyDescent="0.3">
      <c r="A82" s="5" t="s">
        <v>510</v>
      </c>
      <c r="B82" s="5" t="s">
        <v>280</v>
      </c>
      <c r="C82" s="5" t="s">
        <v>509</v>
      </c>
      <c r="D82" s="12" t="s">
        <v>58</v>
      </c>
      <c r="E82" s="13">
        <v>0</v>
      </c>
      <c r="F82" s="5" t="s">
        <v>51</v>
      </c>
      <c r="G82" s="13">
        <v>400</v>
      </c>
      <c r="H82" s="5" t="s">
        <v>1684</v>
      </c>
      <c r="I82" s="13">
        <v>0</v>
      </c>
      <c r="J82" s="5" t="s">
        <v>51</v>
      </c>
      <c r="K82" s="13">
        <v>0</v>
      </c>
      <c r="L82" s="5" t="s">
        <v>51</v>
      </c>
      <c r="M82" s="13">
        <v>0</v>
      </c>
      <c r="N82" s="5" t="s">
        <v>51</v>
      </c>
      <c r="O82" s="13">
        <v>400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5" t="s">
        <v>1697</v>
      </c>
      <c r="X82" s="5" t="s">
        <v>51</v>
      </c>
      <c r="Y82" s="1" t="s">
        <v>51</v>
      </c>
      <c r="Z82" s="1" t="s">
        <v>51</v>
      </c>
      <c r="AA82" s="14"/>
      <c r="AB82" s="1" t="s">
        <v>51</v>
      </c>
    </row>
    <row r="83" spans="1:28" ht="30" customHeight="1" x14ac:dyDescent="0.3">
      <c r="A83" s="5" t="s">
        <v>1217</v>
      </c>
      <c r="B83" s="5" t="s">
        <v>338</v>
      </c>
      <c r="C83" s="5" t="s">
        <v>1216</v>
      </c>
      <c r="D83" s="12" t="s">
        <v>58</v>
      </c>
      <c r="E83" s="13">
        <v>54967</v>
      </c>
      <c r="F83" s="5" t="s">
        <v>1698</v>
      </c>
      <c r="G83" s="13">
        <v>55000</v>
      </c>
      <c r="H83" s="5" t="s">
        <v>1699</v>
      </c>
      <c r="I83" s="13">
        <v>0</v>
      </c>
      <c r="J83" s="5" t="s">
        <v>51</v>
      </c>
      <c r="K83" s="13">
        <v>0</v>
      </c>
      <c r="L83" s="5" t="s">
        <v>51</v>
      </c>
      <c r="M83" s="13">
        <v>0</v>
      </c>
      <c r="N83" s="5" t="s">
        <v>51</v>
      </c>
      <c r="O83" s="13">
        <v>54967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5" t="s">
        <v>1700</v>
      </c>
      <c r="X83" s="5" t="s">
        <v>51</v>
      </c>
      <c r="Y83" s="1" t="s">
        <v>51</v>
      </c>
      <c r="Z83" s="1" t="s">
        <v>51</v>
      </c>
      <c r="AA83" s="14"/>
      <c r="AB83" s="1" t="s">
        <v>51</v>
      </c>
    </row>
    <row r="84" spans="1:28" ht="30" customHeight="1" x14ac:dyDescent="0.3">
      <c r="A84" s="5" t="s">
        <v>969</v>
      </c>
      <c r="B84" s="5" t="s">
        <v>800</v>
      </c>
      <c r="C84" s="5" t="s">
        <v>968</v>
      </c>
      <c r="D84" s="12" t="s">
        <v>58</v>
      </c>
      <c r="E84" s="13">
        <v>21707</v>
      </c>
      <c r="F84" s="5" t="s">
        <v>1701</v>
      </c>
      <c r="G84" s="13">
        <v>0</v>
      </c>
      <c r="H84" s="5" t="s">
        <v>51</v>
      </c>
      <c r="I84" s="13">
        <v>0</v>
      </c>
      <c r="J84" s="5" t="s">
        <v>51</v>
      </c>
      <c r="K84" s="13">
        <v>0</v>
      </c>
      <c r="L84" s="5" t="s">
        <v>51</v>
      </c>
      <c r="M84" s="13">
        <v>0</v>
      </c>
      <c r="N84" s="5" t="s">
        <v>51</v>
      </c>
      <c r="O84" s="13">
        <v>21707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5" t="s">
        <v>1702</v>
      </c>
      <c r="X84" s="5" t="s">
        <v>51</v>
      </c>
      <c r="Y84" s="1" t="s">
        <v>51</v>
      </c>
      <c r="Z84" s="1" t="s">
        <v>51</v>
      </c>
      <c r="AA84" s="14"/>
      <c r="AB84" s="1" t="s">
        <v>51</v>
      </c>
    </row>
    <row r="85" spans="1:28" ht="30" customHeight="1" x14ac:dyDescent="0.3">
      <c r="A85" s="5" t="s">
        <v>802</v>
      </c>
      <c r="B85" s="5" t="s">
        <v>800</v>
      </c>
      <c r="C85" s="5" t="s">
        <v>801</v>
      </c>
      <c r="D85" s="12" t="s">
        <v>58</v>
      </c>
      <c r="E85" s="13">
        <v>30264</v>
      </c>
      <c r="F85" s="5" t="s">
        <v>1703</v>
      </c>
      <c r="G85" s="13">
        <v>0</v>
      </c>
      <c r="H85" s="5" t="s">
        <v>51</v>
      </c>
      <c r="I85" s="13">
        <v>0</v>
      </c>
      <c r="J85" s="5" t="s">
        <v>51</v>
      </c>
      <c r="K85" s="13">
        <v>0</v>
      </c>
      <c r="L85" s="5" t="s">
        <v>51</v>
      </c>
      <c r="M85" s="13">
        <v>0</v>
      </c>
      <c r="N85" s="5" t="s">
        <v>51</v>
      </c>
      <c r="O85" s="13">
        <v>30264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5" t="s">
        <v>1704</v>
      </c>
      <c r="X85" s="5" t="s">
        <v>51</v>
      </c>
      <c r="Y85" s="1" t="s">
        <v>51</v>
      </c>
      <c r="Z85" s="1" t="s">
        <v>51</v>
      </c>
      <c r="AA85" s="14"/>
      <c r="AB85" s="1" t="s">
        <v>51</v>
      </c>
    </row>
    <row r="86" spans="1:28" ht="30" customHeight="1" x14ac:dyDescent="0.3">
      <c r="A86" s="5" t="s">
        <v>805</v>
      </c>
      <c r="B86" s="5" t="s">
        <v>800</v>
      </c>
      <c r="C86" s="5" t="s">
        <v>804</v>
      </c>
      <c r="D86" s="12" t="s">
        <v>58</v>
      </c>
      <c r="E86" s="13">
        <v>2470</v>
      </c>
      <c r="F86" s="5" t="s">
        <v>1705</v>
      </c>
      <c r="G86" s="13">
        <v>0</v>
      </c>
      <c r="H86" s="5" t="s">
        <v>51</v>
      </c>
      <c r="I86" s="13">
        <v>0</v>
      </c>
      <c r="J86" s="5" t="s">
        <v>51</v>
      </c>
      <c r="K86" s="13">
        <v>0</v>
      </c>
      <c r="L86" s="5" t="s">
        <v>51</v>
      </c>
      <c r="M86" s="13">
        <v>0</v>
      </c>
      <c r="N86" s="5" t="s">
        <v>51</v>
      </c>
      <c r="O86" s="13">
        <v>2470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5" t="s">
        <v>1706</v>
      </c>
      <c r="X86" s="5" t="s">
        <v>51</v>
      </c>
      <c r="Y86" s="1" t="s">
        <v>51</v>
      </c>
      <c r="Z86" s="1" t="s">
        <v>51</v>
      </c>
      <c r="AA86" s="14"/>
      <c r="AB86" s="1" t="s">
        <v>51</v>
      </c>
    </row>
    <row r="87" spans="1:28" ht="30" customHeight="1" x14ac:dyDescent="0.3">
      <c r="A87" s="5" t="s">
        <v>1311</v>
      </c>
      <c r="B87" s="5" t="s">
        <v>308</v>
      </c>
      <c r="C87" s="5" t="s">
        <v>1310</v>
      </c>
      <c r="D87" s="12" t="s">
        <v>58</v>
      </c>
      <c r="E87" s="13">
        <v>934</v>
      </c>
      <c r="F87" s="5" t="s">
        <v>1707</v>
      </c>
      <c r="G87" s="13">
        <v>2000</v>
      </c>
      <c r="H87" s="5" t="s">
        <v>1708</v>
      </c>
      <c r="I87" s="13">
        <v>1843</v>
      </c>
      <c r="J87" s="5" t="s">
        <v>1709</v>
      </c>
      <c r="K87" s="13">
        <v>0</v>
      </c>
      <c r="L87" s="5" t="s">
        <v>51</v>
      </c>
      <c r="M87" s="13">
        <v>0</v>
      </c>
      <c r="N87" s="5" t="s">
        <v>51</v>
      </c>
      <c r="O87" s="13">
        <v>934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5" t="s">
        <v>1710</v>
      </c>
      <c r="X87" s="5" t="s">
        <v>51</v>
      </c>
      <c r="Y87" s="1" t="s">
        <v>51</v>
      </c>
      <c r="Z87" s="1" t="s">
        <v>51</v>
      </c>
      <c r="AA87" s="14"/>
      <c r="AB87" s="1" t="s">
        <v>51</v>
      </c>
    </row>
    <row r="88" spans="1:28" ht="30" customHeight="1" x14ac:dyDescent="0.3">
      <c r="A88" s="5" t="s">
        <v>1192</v>
      </c>
      <c r="B88" s="5" t="s">
        <v>308</v>
      </c>
      <c r="C88" s="5" t="s">
        <v>1191</v>
      </c>
      <c r="D88" s="12" t="s">
        <v>58</v>
      </c>
      <c r="E88" s="13">
        <v>1384</v>
      </c>
      <c r="F88" s="5" t="s">
        <v>1711</v>
      </c>
      <c r="G88" s="13">
        <v>2200</v>
      </c>
      <c r="H88" s="5" t="s">
        <v>1708</v>
      </c>
      <c r="I88" s="13">
        <v>2273</v>
      </c>
      <c r="J88" s="5" t="s">
        <v>1709</v>
      </c>
      <c r="K88" s="13">
        <v>0</v>
      </c>
      <c r="L88" s="5" t="s">
        <v>51</v>
      </c>
      <c r="M88" s="13">
        <v>0</v>
      </c>
      <c r="N88" s="5" t="s">
        <v>51</v>
      </c>
      <c r="O88" s="13">
        <v>1384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5" t="s">
        <v>1712</v>
      </c>
      <c r="X88" s="5" t="s">
        <v>51</v>
      </c>
      <c r="Y88" s="1" t="s">
        <v>51</v>
      </c>
      <c r="Z88" s="1" t="s">
        <v>51</v>
      </c>
      <c r="AA88" s="14"/>
      <c r="AB88" s="1" t="s">
        <v>51</v>
      </c>
    </row>
    <row r="89" spans="1:28" ht="30" customHeight="1" x14ac:dyDescent="0.3">
      <c r="A89" s="5" t="s">
        <v>1198</v>
      </c>
      <c r="B89" s="5" t="s">
        <v>308</v>
      </c>
      <c r="C89" s="5" t="s">
        <v>1197</v>
      </c>
      <c r="D89" s="12" t="s">
        <v>58</v>
      </c>
      <c r="E89" s="13">
        <v>2035</v>
      </c>
      <c r="F89" s="5" t="s">
        <v>1713</v>
      </c>
      <c r="G89" s="13">
        <v>3950</v>
      </c>
      <c r="H89" s="5" t="s">
        <v>1685</v>
      </c>
      <c r="I89" s="13">
        <v>3355</v>
      </c>
      <c r="J89" s="5" t="s">
        <v>1709</v>
      </c>
      <c r="K89" s="13">
        <v>0</v>
      </c>
      <c r="L89" s="5" t="s">
        <v>51</v>
      </c>
      <c r="M89" s="13">
        <v>0</v>
      </c>
      <c r="N89" s="5" t="s">
        <v>51</v>
      </c>
      <c r="O89" s="13">
        <v>2035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5" t="s">
        <v>1714</v>
      </c>
      <c r="X89" s="5" t="s">
        <v>51</v>
      </c>
      <c r="Y89" s="1" t="s">
        <v>51</v>
      </c>
      <c r="Z89" s="1" t="s">
        <v>51</v>
      </c>
      <c r="AA89" s="14"/>
      <c r="AB89" s="1" t="s">
        <v>51</v>
      </c>
    </row>
    <row r="90" spans="1:28" ht="30" customHeight="1" x14ac:dyDescent="0.3">
      <c r="A90" s="5" t="s">
        <v>1205</v>
      </c>
      <c r="B90" s="5" t="s">
        <v>1203</v>
      </c>
      <c r="C90" s="5" t="s">
        <v>1204</v>
      </c>
      <c r="D90" s="12" t="s">
        <v>58</v>
      </c>
      <c r="E90" s="13">
        <v>0</v>
      </c>
      <c r="F90" s="5" t="s">
        <v>51</v>
      </c>
      <c r="G90" s="13">
        <v>55000</v>
      </c>
      <c r="H90" s="5" t="s">
        <v>1685</v>
      </c>
      <c r="I90" s="13">
        <v>0</v>
      </c>
      <c r="J90" s="5" t="s">
        <v>51</v>
      </c>
      <c r="K90" s="13">
        <v>0</v>
      </c>
      <c r="L90" s="5" t="s">
        <v>51</v>
      </c>
      <c r="M90" s="13">
        <v>0</v>
      </c>
      <c r="N90" s="5" t="s">
        <v>51</v>
      </c>
      <c r="O90" s="13">
        <v>55000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5" t="s">
        <v>1715</v>
      </c>
      <c r="X90" s="5" t="s">
        <v>51</v>
      </c>
      <c r="Y90" s="1" t="s">
        <v>51</v>
      </c>
      <c r="Z90" s="1" t="s">
        <v>51</v>
      </c>
      <c r="AA90" s="14"/>
      <c r="AB90" s="1" t="s">
        <v>51</v>
      </c>
    </row>
    <row r="91" spans="1:28" ht="30" customHeight="1" x14ac:dyDescent="0.3">
      <c r="A91" s="5" t="s">
        <v>891</v>
      </c>
      <c r="B91" s="5" t="s">
        <v>111</v>
      </c>
      <c r="C91" s="5" t="s">
        <v>890</v>
      </c>
      <c r="D91" s="12" t="s">
        <v>58</v>
      </c>
      <c r="E91" s="13">
        <v>59645</v>
      </c>
      <c r="F91" s="5" t="s">
        <v>1716</v>
      </c>
      <c r="G91" s="13">
        <v>222000</v>
      </c>
      <c r="H91" s="5" t="s">
        <v>1717</v>
      </c>
      <c r="I91" s="13">
        <v>85100</v>
      </c>
      <c r="J91" s="5" t="s">
        <v>1718</v>
      </c>
      <c r="K91" s="13">
        <v>0</v>
      </c>
      <c r="L91" s="5" t="s">
        <v>51</v>
      </c>
      <c r="M91" s="13">
        <v>0</v>
      </c>
      <c r="N91" s="5" t="s">
        <v>51</v>
      </c>
      <c r="O91" s="13">
        <v>59645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5" t="s">
        <v>1719</v>
      </c>
      <c r="X91" s="5" t="s">
        <v>51</v>
      </c>
      <c r="Y91" s="1" t="s">
        <v>51</v>
      </c>
      <c r="Z91" s="1" t="s">
        <v>51</v>
      </c>
      <c r="AA91" s="14"/>
      <c r="AB91" s="1" t="s">
        <v>51</v>
      </c>
    </row>
    <row r="92" spans="1:28" ht="30" customHeight="1" x14ac:dyDescent="0.3">
      <c r="A92" s="5" t="s">
        <v>1144</v>
      </c>
      <c r="B92" s="5" t="s">
        <v>183</v>
      </c>
      <c r="C92" s="5" t="s">
        <v>1143</v>
      </c>
      <c r="D92" s="12" t="s">
        <v>58</v>
      </c>
      <c r="E92" s="13">
        <v>0</v>
      </c>
      <c r="F92" s="5" t="s">
        <v>51</v>
      </c>
      <c r="G92" s="13">
        <v>1210</v>
      </c>
      <c r="H92" s="5" t="s">
        <v>1720</v>
      </c>
      <c r="I92" s="13">
        <v>2067</v>
      </c>
      <c r="J92" s="5" t="s">
        <v>1721</v>
      </c>
      <c r="K92" s="13">
        <v>0</v>
      </c>
      <c r="L92" s="5" t="s">
        <v>51</v>
      </c>
      <c r="M92" s="13">
        <v>0</v>
      </c>
      <c r="N92" s="5" t="s">
        <v>51</v>
      </c>
      <c r="O92" s="13">
        <v>1210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5" t="s">
        <v>1722</v>
      </c>
      <c r="X92" s="5" t="s">
        <v>51</v>
      </c>
      <c r="Y92" s="1" t="s">
        <v>51</v>
      </c>
      <c r="Z92" s="1" t="s">
        <v>51</v>
      </c>
      <c r="AA92" s="14"/>
      <c r="AB92" s="1" t="s">
        <v>51</v>
      </c>
    </row>
    <row r="93" spans="1:28" ht="30" customHeight="1" x14ac:dyDescent="0.3">
      <c r="A93" s="5" t="s">
        <v>997</v>
      </c>
      <c r="B93" s="5" t="s">
        <v>183</v>
      </c>
      <c r="C93" s="5" t="s">
        <v>996</v>
      </c>
      <c r="D93" s="12" t="s">
        <v>58</v>
      </c>
      <c r="E93" s="13">
        <v>0</v>
      </c>
      <c r="F93" s="5" t="s">
        <v>51</v>
      </c>
      <c r="G93" s="13">
        <v>10920</v>
      </c>
      <c r="H93" s="5" t="s">
        <v>1720</v>
      </c>
      <c r="I93" s="13">
        <v>16493</v>
      </c>
      <c r="J93" s="5" t="s">
        <v>1721</v>
      </c>
      <c r="K93" s="13">
        <v>0</v>
      </c>
      <c r="L93" s="5" t="s">
        <v>51</v>
      </c>
      <c r="M93" s="13">
        <v>0</v>
      </c>
      <c r="N93" s="5" t="s">
        <v>51</v>
      </c>
      <c r="O93" s="13">
        <v>10920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5" t="s">
        <v>1723</v>
      </c>
      <c r="X93" s="5" t="s">
        <v>51</v>
      </c>
      <c r="Y93" s="1" t="s">
        <v>51</v>
      </c>
      <c r="Z93" s="1" t="s">
        <v>51</v>
      </c>
      <c r="AA93" s="14"/>
      <c r="AB93" s="1" t="s">
        <v>51</v>
      </c>
    </row>
    <row r="94" spans="1:28" ht="30" customHeight="1" x14ac:dyDescent="0.3">
      <c r="A94" s="5" t="s">
        <v>1150</v>
      </c>
      <c r="B94" s="5" t="s">
        <v>183</v>
      </c>
      <c r="C94" s="5" t="s">
        <v>1149</v>
      </c>
      <c r="D94" s="12" t="s">
        <v>58</v>
      </c>
      <c r="E94" s="13">
        <v>0</v>
      </c>
      <c r="F94" s="5" t="s">
        <v>51</v>
      </c>
      <c r="G94" s="13">
        <v>3520</v>
      </c>
      <c r="H94" s="5" t="s">
        <v>1720</v>
      </c>
      <c r="I94" s="13">
        <v>5559</v>
      </c>
      <c r="J94" s="5" t="s">
        <v>1721</v>
      </c>
      <c r="K94" s="13">
        <v>0</v>
      </c>
      <c r="L94" s="5" t="s">
        <v>51</v>
      </c>
      <c r="M94" s="13">
        <v>0</v>
      </c>
      <c r="N94" s="5" t="s">
        <v>51</v>
      </c>
      <c r="O94" s="13">
        <v>3520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5" t="s">
        <v>1724</v>
      </c>
      <c r="X94" s="5" t="s">
        <v>51</v>
      </c>
      <c r="Y94" s="1" t="s">
        <v>51</v>
      </c>
      <c r="Z94" s="1" t="s">
        <v>51</v>
      </c>
      <c r="AA94" s="14"/>
      <c r="AB94" s="1" t="s">
        <v>51</v>
      </c>
    </row>
    <row r="95" spans="1:28" ht="30" customHeight="1" x14ac:dyDescent="0.3">
      <c r="A95" s="5" t="s">
        <v>984</v>
      </c>
      <c r="B95" s="5" t="s">
        <v>174</v>
      </c>
      <c r="C95" s="5" t="s">
        <v>983</v>
      </c>
      <c r="D95" s="12" t="s">
        <v>58</v>
      </c>
      <c r="E95" s="13">
        <v>241</v>
      </c>
      <c r="F95" s="5" t="s">
        <v>1725</v>
      </c>
      <c r="G95" s="13">
        <v>305.8</v>
      </c>
      <c r="H95" s="5" t="s">
        <v>1720</v>
      </c>
      <c r="I95" s="13">
        <v>1040</v>
      </c>
      <c r="J95" s="5" t="s">
        <v>1721</v>
      </c>
      <c r="K95" s="13">
        <v>0</v>
      </c>
      <c r="L95" s="5" t="s">
        <v>51</v>
      </c>
      <c r="M95" s="13">
        <v>0</v>
      </c>
      <c r="N95" s="5" t="s">
        <v>51</v>
      </c>
      <c r="O95" s="13">
        <v>241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5" t="s">
        <v>1726</v>
      </c>
      <c r="X95" s="5" t="s">
        <v>51</v>
      </c>
      <c r="Y95" s="1" t="s">
        <v>51</v>
      </c>
      <c r="Z95" s="1" t="s">
        <v>51</v>
      </c>
      <c r="AA95" s="14"/>
      <c r="AB95" s="1" t="s">
        <v>51</v>
      </c>
    </row>
    <row r="96" spans="1:28" ht="30" customHeight="1" x14ac:dyDescent="0.3">
      <c r="A96" s="5" t="s">
        <v>990</v>
      </c>
      <c r="B96" s="5" t="s">
        <v>174</v>
      </c>
      <c r="C96" s="5" t="s">
        <v>989</v>
      </c>
      <c r="D96" s="12" t="s">
        <v>58</v>
      </c>
      <c r="E96" s="13">
        <v>1270</v>
      </c>
      <c r="F96" s="5" t="s">
        <v>1727</v>
      </c>
      <c r="G96" s="13">
        <v>1823</v>
      </c>
      <c r="H96" s="5" t="s">
        <v>1720</v>
      </c>
      <c r="I96" s="13">
        <v>4732</v>
      </c>
      <c r="J96" s="5" t="s">
        <v>1721</v>
      </c>
      <c r="K96" s="13">
        <v>0</v>
      </c>
      <c r="L96" s="5" t="s">
        <v>51</v>
      </c>
      <c r="M96" s="13">
        <v>0</v>
      </c>
      <c r="N96" s="5" t="s">
        <v>51</v>
      </c>
      <c r="O96" s="13">
        <v>1270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5" t="s">
        <v>1728</v>
      </c>
      <c r="X96" s="5" t="s">
        <v>51</v>
      </c>
      <c r="Y96" s="1" t="s">
        <v>51</v>
      </c>
      <c r="Z96" s="1" t="s">
        <v>51</v>
      </c>
      <c r="AA96" s="14"/>
      <c r="AB96" s="1" t="s">
        <v>51</v>
      </c>
    </row>
    <row r="97" spans="1:28" ht="30" customHeight="1" x14ac:dyDescent="0.3">
      <c r="A97" s="5" t="s">
        <v>844</v>
      </c>
      <c r="B97" s="5" t="s">
        <v>842</v>
      </c>
      <c r="C97" s="5" t="s">
        <v>843</v>
      </c>
      <c r="D97" s="12" t="s">
        <v>58</v>
      </c>
      <c r="E97" s="13">
        <v>3316</v>
      </c>
      <c r="F97" s="5" t="s">
        <v>1729</v>
      </c>
      <c r="G97" s="13">
        <v>5780</v>
      </c>
      <c r="H97" s="5" t="s">
        <v>1721</v>
      </c>
      <c r="I97" s="13">
        <v>6500</v>
      </c>
      <c r="J97" s="5" t="s">
        <v>1730</v>
      </c>
      <c r="K97" s="13">
        <v>0</v>
      </c>
      <c r="L97" s="5" t="s">
        <v>51</v>
      </c>
      <c r="M97" s="13">
        <v>0</v>
      </c>
      <c r="N97" s="5" t="s">
        <v>51</v>
      </c>
      <c r="O97" s="13">
        <v>3316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5" t="s">
        <v>1731</v>
      </c>
      <c r="X97" s="5" t="s">
        <v>51</v>
      </c>
      <c r="Y97" s="1" t="s">
        <v>51</v>
      </c>
      <c r="Z97" s="1" t="s">
        <v>51</v>
      </c>
      <c r="AA97" s="14"/>
      <c r="AB97" s="1" t="s">
        <v>51</v>
      </c>
    </row>
    <row r="98" spans="1:28" ht="30" customHeight="1" x14ac:dyDescent="0.3">
      <c r="A98" s="5" t="s">
        <v>602</v>
      </c>
      <c r="B98" s="5" t="s">
        <v>599</v>
      </c>
      <c r="C98" s="5" t="s">
        <v>600</v>
      </c>
      <c r="D98" s="12" t="s">
        <v>601</v>
      </c>
      <c r="E98" s="13">
        <v>0</v>
      </c>
      <c r="F98" s="5" t="s">
        <v>51</v>
      </c>
      <c r="G98" s="13">
        <v>0</v>
      </c>
      <c r="H98" s="5" t="s">
        <v>51</v>
      </c>
      <c r="I98" s="13">
        <v>0</v>
      </c>
      <c r="J98" s="5" t="s">
        <v>51</v>
      </c>
      <c r="K98" s="13">
        <v>0</v>
      </c>
      <c r="L98" s="5" t="s">
        <v>51</v>
      </c>
      <c r="M98" s="13">
        <v>750000</v>
      </c>
      <c r="N98" s="5" t="s">
        <v>51</v>
      </c>
      <c r="O98" s="13">
        <v>750000</v>
      </c>
      <c r="P98" s="13">
        <v>188650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5" t="s">
        <v>1732</v>
      </c>
      <c r="X98" s="5" t="s">
        <v>51</v>
      </c>
      <c r="Y98" s="1" t="s">
        <v>51</v>
      </c>
      <c r="Z98" s="1" t="s">
        <v>51</v>
      </c>
      <c r="AA98" s="14"/>
      <c r="AB98" s="1" t="s">
        <v>51</v>
      </c>
    </row>
    <row r="99" spans="1:28" ht="30" customHeight="1" x14ac:dyDescent="0.3">
      <c r="A99" s="5" t="s">
        <v>605</v>
      </c>
      <c r="B99" s="5" t="s">
        <v>604</v>
      </c>
      <c r="C99" s="5" t="s">
        <v>118</v>
      </c>
      <c r="D99" s="12" t="s">
        <v>58</v>
      </c>
      <c r="E99" s="13">
        <v>0</v>
      </c>
      <c r="F99" s="5" t="s">
        <v>51</v>
      </c>
      <c r="G99" s="13">
        <v>0</v>
      </c>
      <c r="H99" s="5" t="s">
        <v>51</v>
      </c>
      <c r="I99" s="13">
        <v>0</v>
      </c>
      <c r="J99" s="5" t="s">
        <v>51</v>
      </c>
      <c r="K99" s="13">
        <v>0</v>
      </c>
      <c r="L99" s="5" t="s">
        <v>51</v>
      </c>
      <c r="M99" s="13">
        <v>8000</v>
      </c>
      <c r="N99" s="5" t="s">
        <v>51</v>
      </c>
      <c r="O99" s="13">
        <v>8000</v>
      </c>
      <c r="P99" s="13">
        <v>43773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5" t="s">
        <v>1733</v>
      </c>
      <c r="X99" s="5" t="s">
        <v>51</v>
      </c>
      <c r="Y99" s="1" t="s">
        <v>51</v>
      </c>
      <c r="Z99" s="1" t="s">
        <v>51</v>
      </c>
      <c r="AA99" s="14"/>
      <c r="AB99" s="1" t="s">
        <v>51</v>
      </c>
    </row>
    <row r="100" spans="1:28" ht="30" customHeight="1" x14ac:dyDescent="0.3">
      <c r="A100" s="5" t="s">
        <v>609</v>
      </c>
      <c r="B100" s="5" t="s">
        <v>607</v>
      </c>
      <c r="C100" s="5" t="s">
        <v>608</v>
      </c>
      <c r="D100" s="12" t="s">
        <v>58</v>
      </c>
      <c r="E100" s="13">
        <v>0</v>
      </c>
      <c r="F100" s="5" t="s">
        <v>51</v>
      </c>
      <c r="G100" s="13">
        <v>0</v>
      </c>
      <c r="H100" s="5" t="s">
        <v>51</v>
      </c>
      <c r="I100" s="13">
        <v>55000</v>
      </c>
      <c r="J100" s="5" t="s">
        <v>1730</v>
      </c>
      <c r="K100" s="13">
        <v>0</v>
      </c>
      <c r="L100" s="5" t="s">
        <v>51</v>
      </c>
      <c r="M100" s="13">
        <v>55000</v>
      </c>
      <c r="N100" s="5" t="s">
        <v>51</v>
      </c>
      <c r="O100" s="13">
        <v>55000</v>
      </c>
      <c r="P100" s="13">
        <v>22157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5" t="s">
        <v>1734</v>
      </c>
      <c r="X100" s="5" t="s">
        <v>51</v>
      </c>
      <c r="Y100" s="1" t="s">
        <v>51</v>
      </c>
      <c r="Z100" s="1" t="s">
        <v>51</v>
      </c>
      <c r="AA100" s="14"/>
      <c r="AB100" s="1" t="s">
        <v>51</v>
      </c>
    </row>
    <row r="101" spans="1:28" ht="30" customHeight="1" x14ac:dyDescent="0.3">
      <c r="A101" s="5" t="s">
        <v>59</v>
      </c>
      <c r="B101" s="5" t="s">
        <v>56</v>
      </c>
      <c r="C101" s="5" t="s">
        <v>57</v>
      </c>
      <c r="D101" s="12" t="s">
        <v>58</v>
      </c>
      <c r="E101" s="13">
        <v>0</v>
      </c>
      <c r="F101" s="5" t="s">
        <v>51</v>
      </c>
      <c r="G101" s="13">
        <v>109000</v>
      </c>
      <c r="H101" s="5" t="s">
        <v>1735</v>
      </c>
      <c r="I101" s="13">
        <v>0</v>
      </c>
      <c r="J101" s="5" t="s">
        <v>51</v>
      </c>
      <c r="K101" s="13">
        <v>0</v>
      </c>
      <c r="L101" s="5" t="s">
        <v>51</v>
      </c>
      <c r="M101" s="13">
        <v>0</v>
      </c>
      <c r="N101" s="5" t="s">
        <v>51</v>
      </c>
      <c r="O101" s="13">
        <v>109000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5" t="s">
        <v>1736</v>
      </c>
      <c r="X101" s="5" t="s">
        <v>51</v>
      </c>
      <c r="Y101" s="1" t="s">
        <v>51</v>
      </c>
      <c r="Z101" s="1" t="s">
        <v>51</v>
      </c>
      <c r="AA101" s="14"/>
      <c r="AB101" s="1" t="s">
        <v>51</v>
      </c>
    </row>
    <row r="102" spans="1:28" ht="30" customHeight="1" x14ac:dyDescent="0.3">
      <c r="A102" s="5" t="s">
        <v>76</v>
      </c>
      <c r="B102" s="5" t="s">
        <v>74</v>
      </c>
      <c r="C102" s="5" t="s">
        <v>75</v>
      </c>
      <c r="D102" s="12" t="s">
        <v>58</v>
      </c>
      <c r="E102" s="13">
        <v>0</v>
      </c>
      <c r="F102" s="5" t="s">
        <v>51</v>
      </c>
      <c r="G102" s="13">
        <v>222000</v>
      </c>
      <c r="H102" s="5" t="s">
        <v>1717</v>
      </c>
      <c r="I102" s="13">
        <v>0</v>
      </c>
      <c r="J102" s="5" t="s">
        <v>51</v>
      </c>
      <c r="K102" s="13">
        <v>0</v>
      </c>
      <c r="L102" s="5" t="s">
        <v>51</v>
      </c>
      <c r="M102" s="13">
        <v>0</v>
      </c>
      <c r="N102" s="5" t="s">
        <v>51</v>
      </c>
      <c r="O102" s="13">
        <v>222000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5" t="s">
        <v>1737</v>
      </c>
      <c r="X102" s="5" t="s">
        <v>51</v>
      </c>
      <c r="Y102" s="1" t="s">
        <v>51</v>
      </c>
      <c r="Z102" s="1" t="s">
        <v>51</v>
      </c>
      <c r="AA102" s="14"/>
      <c r="AB102" s="1" t="s">
        <v>51</v>
      </c>
    </row>
    <row r="103" spans="1:28" ht="30" customHeight="1" x14ac:dyDescent="0.3">
      <c r="A103" s="5" t="s">
        <v>614</v>
      </c>
      <c r="B103" s="5" t="s">
        <v>611</v>
      </c>
      <c r="C103" s="5" t="s">
        <v>612</v>
      </c>
      <c r="D103" s="12" t="s">
        <v>613</v>
      </c>
      <c r="E103" s="13">
        <v>0</v>
      </c>
      <c r="F103" s="5" t="s">
        <v>51</v>
      </c>
      <c r="G103" s="13">
        <v>70000</v>
      </c>
      <c r="H103" s="5" t="s">
        <v>1738</v>
      </c>
      <c r="I103" s="13">
        <v>0</v>
      </c>
      <c r="J103" s="5" t="s">
        <v>51</v>
      </c>
      <c r="K103" s="13">
        <v>0</v>
      </c>
      <c r="L103" s="5" t="s">
        <v>51</v>
      </c>
      <c r="M103" s="13">
        <v>70000</v>
      </c>
      <c r="N103" s="5" t="s">
        <v>51</v>
      </c>
      <c r="O103" s="13">
        <v>70000</v>
      </c>
      <c r="P103" s="13">
        <v>18825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5" t="s">
        <v>1739</v>
      </c>
      <c r="X103" s="5" t="s">
        <v>51</v>
      </c>
      <c r="Y103" s="1" t="s">
        <v>51</v>
      </c>
      <c r="Z103" s="1" t="s">
        <v>51</v>
      </c>
      <c r="AA103" s="14"/>
      <c r="AB103" s="1" t="s">
        <v>51</v>
      </c>
    </row>
    <row r="104" spans="1:28" ht="30" customHeight="1" x14ac:dyDescent="0.3">
      <c r="A104" s="5" t="s">
        <v>855</v>
      </c>
      <c r="B104" s="5" t="s">
        <v>850</v>
      </c>
      <c r="C104" s="5" t="s">
        <v>854</v>
      </c>
      <c r="D104" s="12" t="s">
        <v>58</v>
      </c>
      <c r="E104" s="13">
        <v>0</v>
      </c>
      <c r="F104" s="5" t="s">
        <v>51</v>
      </c>
      <c r="G104" s="13">
        <v>0</v>
      </c>
      <c r="H104" s="5" t="s">
        <v>51</v>
      </c>
      <c r="I104" s="13">
        <v>0</v>
      </c>
      <c r="J104" s="5" t="s">
        <v>51</v>
      </c>
      <c r="K104" s="13">
        <v>0</v>
      </c>
      <c r="L104" s="5" t="s">
        <v>51</v>
      </c>
      <c r="M104" s="13">
        <v>0</v>
      </c>
      <c r="N104" s="5" t="s">
        <v>51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5" t="s">
        <v>1740</v>
      </c>
      <c r="X104" s="5" t="s">
        <v>51</v>
      </c>
      <c r="Y104" s="1" t="s">
        <v>51</v>
      </c>
      <c r="Z104" s="1" t="s">
        <v>51</v>
      </c>
      <c r="AA104" s="14"/>
      <c r="AB104" s="1" t="s">
        <v>51</v>
      </c>
    </row>
    <row r="105" spans="1:28" ht="30" customHeight="1" x14ac:dyDescent="0.3">
      <c r="A105" s="5" t="s">
        <v>852</v>
      </c>
      <c r="B105" s="5" t="s">
        <v>850</v>
      </c>
      <c r="C105" s="5" t="s">
        <v>851</v>
      </c>
      <c r="D105" s="12" t="s">
        <v>58</v>
      </c>
      <c r="E105" s="13">
        <v>0</v>
      </c>
      <c r="F105" s="5" t="s">
        <v>51</v>
      </c>
      <c r="G105" s="13">
        <v>0</v>
      </c>
      <c r="H105" s="5" t="s">
        <v>51</v>
      </c>
      <c r="I105" s="13">
        <v>0</v>
      </c>
      <c r="J105" s="5" t="s">
        <v>51</v>
      </c>
      <c r="K105" s="13">
        <v>0</v>
      </c>
      <c r="L105" s="5" t="s">
        <v>51</v>
      </c>
      <c r="M105" s="13">
        <v>0</v>
      </c>
      <c r="N105" s="5" t="s">
        <v>51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5" t="s">
        <v>1741</v>
      </c>
      <c r="X105" s="5" t="s">
        <v>51</v>
      </c>
      <c r="Y105" s="1" t="s">
        <v>51</v>
      </c>
      <c r="Z105" s="1" t="s">
        <v>51</v>
      </c>
      <c r="AA105" s="14"/>
      <c r="AB105" s="1" t="s">
        <v>51</v>
      </c>
    </row>
    <row r="106" spans="1:28" ht="30" customHeight="1" x14ac:dyDescent="0.3">
      <c r="A106" s="5" t="s">
        <v>80</v>
      </c>
      <c r="B106" s="5" t="s">
        <v>78</v>
      </c>
      <c r="C106" s="5" t="s">
        <v>79</v>
      </c>
      <c r="D106" s="12" t="s">
        <v>58</v>
      </c>
      <c r="E106" s="13">
        <v>0</v>
      </c>
      <c r="F106" s="5" t="s">
        <v>51</v>
      </c>
      <c r="G106" s="13">
        <v>15000</v>
      </c>
      <c r="H106" s="5" t="s">
        <v>1742</v>
      </c>
      <c r="I106" s="13">
        <v>0</v>
      </c>
      <c r="J106" s="5" t="s">
        <v>51</v>
      </c>
      <c r="K106" s="13">
        <v>0</v>
      </c>
      <c r="L106" s="5" t="s">
        <v>51</v>
      </c>
      <c r="M106" s="13">
        <v>0</v>
      </c>
      <c r="N106" s="5" t="s">
        <v>51</v>
      </c>
      <c r="O106" s="13">
        <v>15000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5" t="s">
        <v>1743</v>
      </c>
      <c r="X106" s="5" t="s">
        <v>51</v>
      </c>
      <c r="Y106" s="1" t="s">
        <v>51</v>
      </c>
      <c r="Z106" s="1" t="s">
        <v>51</v>
      </c>
      <c r="AA106" s="14"/>
      <c r="AB106" s="1" t="s">
        <v>51</v>
      </c>
    </row>
    <row r="107" spans="1:28" ht="30" customHeight="1" x14ac:dyDescent="0.3">
      <c r="A107" s="5" t="s">
        <v>84</v>
      </c>
      <c r="B107" s="5" t="s">
        <v>82</v>
      </c>
      <c r="C107" s="5" t="s">
        <v>83</v>
      </c>
      <c r="D107" s="12" t="s">
        <v>58</v>
      </c>
      <c r="E107" s="13">
        <v>0</v>
      </c>
      <c r="F107" s="5" t="s">
        <v>51</v>
      </c>
      <c r="G107" s="13">
        <v>23200</v>
      </c>
      <c r="H107" s="5" t="s">
        <v>1744</v>
      </c>
      <c r="I107" s="13">
        <v>19500</v>
      </c>
      <c r="J107" s="5" t="s">
        <v>1745</v>
      </c>
      <c r="K107" s="13">
        <v>0</v>
      </c>
      <c r="L107" s="5" t="s">
        <v>51</v>
      </c>
      <c r="M107" s="13">
        <v>0</v>
      </c>
      <c r="N107" s="5" t="s">
        <v>51</v>
      </c>
      <c r="O107" s="13">
        <v>19500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5" t="s">
        <v>1746</v>
      </c>
      <c r="X107" s="5" t="s">
        <v>51</v>
      </c>
      <c r="Y107" s="1" t="s">
        <v>51</v>
      </c>
      <c r="Z107" s="1" t="s">
        <v>51</v>
      </c>
      <c r="AA107" s="14"/>
      <c r="AB107" s="1" t="s">
        <v>51</v>
      </c>
    </row>
    <row r="108" spans="1:28" ht="30" customHeight="1" x14ac:dyDescent="0.3">
      <c r="A108" s="5" t="s">
        <v>777</v>
      </c>
      <c r="B108" s="5" t="s">
        <v>775</v>
      </c>
      <c r="C108" s="5" t="s">
        <v>776</v>
      </c>
      <c r="D108" s="12" t="s">
        <v>58</v>
      </c>
      <c r="E108" s="13">
        <v>0</v>
      </c>
      <c r="F108" s="5" t="s">
        <v>51</v>
      </c>
      <c r="G108" s="13">
        <v>0</v>
      </c>
      <c r="H108" s="5" t="s">
        <v>51</v>
      </c>
      <c r="I108" s="13">
        <v>0</v>
      </c>
      <c r="J108" s="5" t="s">
        <v>51</v>
      </c>
      <c r="K108" s="13">
        <v>0</v>
      </c>
      <c r="L108" s="5" t="s">
        <v>51</v>
      </c>
      <c r="M108" s="13">
        <v>0</v>
      </c>
      <c r="N108" s="5" t="s">
        <v>51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5" t="s">
        <v>1747</v>
      </c>
      <c r="X108" s="5" t="s">
        <v>51</v>
      </c>
      <c r="Y108" s="1" t="s">
        <v>51</v>
      </c>
      <c r="Z108" s="1" t="s">
        <v>51</v>
      </c>
      <c r="AA108" s="14"/>
      <c r="AB108" s="1" t="s">
        <v>51</v>
      </c>
    </row>
    <row r="109" spans="1:28" ht="30" customHeight="1" x14ac:dyDescent="0.3">
      <c r="A109" s="5" t="s">
        <v>861</v>
      </c>
      <c r="B109" s="5" t="s">
        <v>775</v>
      </c>
      <c r="C109" s="5" t="s">
        <v>860</v>
      </c>
      <c r="D109" s="12" t="s">
        <v>58</v>
      </c>
      <c r="E109" s="13">
        <v>0</v>
      </c>
      <c r="F109" s="5" t="s">
        <v>51</v>
      </c>
      <c r="G109" s="13">
        <v>1300</v>
      </c>
      <c r="H109" s="5" t="s">
        <v>1744</v>
      </c>
      <c r="I109" s="13">
        <v>0</v>
      </c>
      <c r="J109" s="5" t="s">
        <v>51</v>
      </c>
      <c r="K109" s="13">
        <v>0</v>
      </c>
      <c r="L109" s="5" t="s">
        <v>51</v>
      </c>
      <c r="M109" s="13">
        <v>0</v>
      </c>
      <c r="N109" s="5" t="s">
        <v>51</v>
      </c>
      <c r="O109" s="13">
        <v>1300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5" t="s">
        <v>1748</v>
      </c>
      <c r="X109" s="5" t="s">
        <v>51</v>
      </c>
      <c r="Y109" s="1" t="s">
        <v>51</v>
      </c>
      <c r="Z109" s="1" t="s">
        <v>51</v>
      </c>
      <c r="AA109" s="14"/>
      <c r="AB109" s="1" t="s">
        <v>51</v>
      </c>
    </row>
    <row r="110" spans="1:28" ht="30" customHeight="1" x14ac:dyDescent="0.3">
      <c r="A110" s="5" t="s">
        <v>858</v>
      </c>
      <c r="B110" s="5" t="s">
        <v>775</v>
      </c>
      <c r="C110" s="5" t="s">
        <v>857</v>
      </c>
      <c r="D110" s="12" t="s">
        <v>58</v>
      </c>
      <c r="E110" s="13">
        <v>0</v>
      </c>
      <c r="F110" s="5" t="s">
        <v>51</v>
      </c>
      <c r="G110" s="13">
        <v>0</v>
      </c>
      <c r="H110" s="5" t="s">
        <v>51</v>
      </c>
      <c r="I110" s="13">
        <v>0</v>
      </c>
      <c r="J110" s="5" t="s">
        <v>51</v>
      </c>
      <c r="K110" s="13">
        <v>0</v>
      </c>
      <c r="L110" s="5" t="s">
        <v>51</v>
      </c>
      <c r="M110" s="13">
        <v>0</v>
      </c>
      <c r="N110" s="5" t="s">
        <v>51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5" t="s">
        <v>1749</v>
      </c>
      <c r="X110" s="5" t="s">
        <v>51</v>
      </c>
      <c r="Y110" s="1" t="s">
        <v>51</v>
      </c>
      <c r="Z110" s="1" t="s">
        <v>51</v>
      </c>
      <c r="AA110" s="14"/>
      <c r="AB110" s="1" t="s">
        <v>51</v>
      </c>
    </row>
    <row r="111" spans="1:28" ht="30" customHeight="1" x14ac:dyDescent="0.3">
      <c r="A111" s="5" t="s">
        <v>1288</v>
      </c>
      <c r="B111" s="5" t="s">
        <v>1286</v>
      </c>
      <c r="C111" s="5" t="s">
        <v>1287</v>
      </c>
      <c r="D111" s="12" t="s">
        <v>58</v>
      </c>
      <c r="E111" s="13">
        <v>1323</v>
      </c>
      <c r="F111" s="5" t="s">
        <v>1750</v>
      </c>
      <c r="G111" s="13">
        <v>1880</v>
      </c>
      <c r="H111" s="5" t="s">
        <v>1751</v>
      </c>
      <c r="I111" s="13">
        <v>2333</v>
      </c>
      <c r="J111" s="5" t="s">
        <v>1709</v>
      </c>
      <c r="K111" s="13">
        <v>0</v>
      </c>
      <c r="L111" s="5" t="s">
        <v>51</v>
      </c>
      <c r="M111" s="13">
        <v>0</v>
      </c>
      <c r="N111" s="5" t="s">
        <v>51</v>
      </c>
      <c r="O111" s="13">
        <v>1323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5" t="s">
        <v>1752</v>
      </c>
      <c r="X111" s="5" t="s">
        <v>51</v>
      </c>
      <c r="Y111" s="1" t="s">
        <v>51</v>
      </c>
      <c r="Z111" s="1" t="s">
        <v>51</v>
      </c>
      <c r="AA111" s="14"/>
      <c r="AB111" s="1" t="s">
        <v>51</v>
      </c>
    </row>
    <row r="112" spans="1:28" ht="30" customHeight="1" x14ac:dyDescent="0.3">
      <c r="A112" s="5" t="s">
        <v>1294</v>
      </c>
      <c r="B112" s="5" t="s">
        <v>1286</v>
      </c>
      <c r="C112" s="5" t="s">
        <v>1293</v>
      </c>
      <c r="D112" s="12" t="s">
        <v>58</v>
      </c>
      <c r="E112" s="13">
        <v>1851</v>
      </c>
      <c r="F112" s="5" t="s">
        <v>1753</v>
      </c>
      <c r="G112" s="13">
        <v>2820</v>
      </c>
      <c r="H112" s="5" t="s">
        <v>1751</v>
      </c>
      <c r="I112" s="13">
        <v>3617</v>
      </c>
      <c r="J112" s="5" t="s">
        <v>1709</v>
      </c>
      <c r="K112" s="13">
        <v>0</v>
      </c>
      <c r="L112" s="5" t="s">
        <v>51</v>
      </c>
      <c r="M112" s="13">
        <v>0</v>
      </c>
      <c r="N112" s="5" t="s">
        <v>51</v>
      </c>
      <c r="O112" s="13">
        <v>1851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5" t="s">
        <v>1754</v>
      </c>
      <c r="X112" s="5" t="s">
        <v>51</v>
      </c>
      <c r="Y112" s="1" t="s">
        <v>51</v>
      </c>
      <c r="Z112" s="1" t="s">
        <v>51</v>
      </c>
      <c r="AA112" s="14"/>
      <c r="AB112" s="1" t="s">
        <v>51</v>
      </c>
    </row>
    <row r="113" spans="1:28" ht="30" customHeight="1" x14ac:dyDescent="0.3">
      <c r="A113" s="5" t="s">
        <v>1300</v>
      </c>
      <c r="B113" s="5" t="s">
        <v>1286</v>
      </c>
      <c r="C113" s="5" t="s">
        <v>1299</v>
      </c>
      <c r="D113" s="12" t="s">
        <v>58</v>
      </c>
      <c r="E113" s="13">
        <v>2393</v>
      </c>
      <c r="F113" s="5" t="s">
        <v>1755</v>
      </c>
      <c r="G113" s="13">
        <v>3640</v>
      </c>
      <c r="H113" s="5" t="s">
        <v>1751</v>
      </c>
      <c r="I113" s="13">
        <v>4808</v>
      </c>
      <c r="J113" s="5" t="s">
        <v>1709</v>
      </c>
      <c r="K113" s="13">
        <v>0</v>
      </c>
      <c r="L113" s="5" t="s">
        <v>51</v>
      </c>
      <c r="M113" s="13">
        <v>0</v>
      </c>
      <c r="N113" s="5" t="s">
        <v>51</v>
      </c>
      <c r="O113" s="13">
        <v>2393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5" t="s">
        <v>1756</v>
      </c>
      <c r="X113" s="5" t="s">
        <v>51</v>
      </c>
      <c r="Y113" s="1" t="s">
        <v>51</v>
      </c>
      <c r="Z113" s="1" t="s">
        <v>51</v>
      </c>
      <c r="AA113" s="14"/>
      <c r="AB113" s="1" t="s">
        <v>51</v>
      </c>
    </row>
    <row r="114" spans="1:28" ht="30" customHeight="1" x14ac:dyDescent="0.3">
      <c r="A114" s="5" t="s">
        <v>1305</v>
      </c>
      <c r="B114" s="5" t="s">
        <v>423</v>
      </c>
      <c r="C114" s="5" t="s">
        <v>51</v>
      </c>
      <c r="D114" s="12" t="s">
        <v>58</v>
      </c>
      <c r="E114" s="13">
        <v>0</v>
      </c>
      <c r="F114" s="5" t="s">
        <v>51</v>
      </c>
      <c r="G114" s="13">
        <v>56000</v>
      </c>
      <c r="H114" s="5" t="s">
        <v>1751</v>
      </c>
      <c r="I114" s="13">
        <v>0</v>
      </c>
      <c r="J114" s="5" t="s">
        <v>51</v>
      </c>
      <c r="K114" s="13">
        <v>0</v>
      </c>
      <c r="L114" s="5" t="s">
        <v>51</v>
      </c>
      <c r="M114" s="13">
        <v>0</v>
      </c>
      <c r="N114" s="5" t="s">
        <v>51</v>
      </c>
      <c r="O114" s="13">
        <v>56000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5" t="s">
        <v>1757</v>
      </c>
      <c r="X114" s="5" t="s">
        <v>51</v>
      </c>
      <c r="Y114" s="1" t="s">
        <v>51</v>
      </c>
      <c r="Z114" s="1" t="s">
        <v>51</v>
      </c>
      <c r="AA114" s="14"/>
      <c r="AB114" s="1" t="s">
        <v>51</v>
      </c>
    </row>
    <row r="115" spans="1:28" ht="30" customHeight="1" x14ac:dyDescent="0.3">
      <c r="A115" s="5" t="s">
        <v>1439</v>
      </c>
      <c r="B115" s="5" t="s">
        <v>551</v>
      </c>
      <c r="C115" s="5" t="s">
        <v>1438</v>
      </c>
      <c r="D115" s="12" t="s">
        <v>65</v>
      </c>
      <c r="E115" s="13">
        <v>12650</v>
      </c>
      <c r="F115" s="5" t="s">
        <v>1758</v>
      </c>
      <c r="G115" s="13">
        <v>24580</v>
      </c>
      <c r="H115" s="5" t="s">
        <v>1759</v>
      </c>
      <c r="I115" s="13">
        <v>25030</v>
      </c>
      <c r="J115" s="5" t="s">
        <v>1760</v>
      </c>
      <c r="K115" s="13">
        <v>0</v>
      </c>
      <c r="L115" s="5" t="s">
        <v>51</v>
      </c>
      <c r="M115" s="13">
        <v>0</v>
      </c>
      <c r="N115" s="5" t="s">
        <v>51</v>
      </c>
      <c r="O115" s="13">
        <v>12650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5" t="s">
        <v>1761</v>
      </c>
      <c r="X115" s="5" t="s">
        <v>51</v>
      </c>
      <c r="Y115" s="1" t="s">
        <v>51</v>
      </c>
      <c r="Z115" s="1" t="s">
        <v>51</v>
      </c>
      <c r="AA115" s="14"/>
      <c r="AB115" s="1" t="s">
        <v>51</v>
      </c>
    </row>
    <row r="116" spans="1:28" ht="30" customHeight="1" x14ac:dyDescent="0.3">
      <c r="A116" s="5" t="s">
        <v>1411</v>
      </c>
      <c r="B116" s="5" t="s">
        <v>551</v>
      </c>
      <c r="C116" s="5" t="s">
        <v>1410</v>
      </c>
      <c r="D116" s="12" t="s">
        <v>65</v>
      </c>
      <c r="E116" s="13">
        <v>16750</v>
      </c>
      <c r="F116" s="5" t="s">
        <v>1762</v>
      </c>
      <c r="G116" s="13">
        <v>32750</v>
      </c>
      <c r="H116" s="5" t="s">
        <v>1763</v>
      </c>
      <c r="I116" s="13">
        <v>32850</v>
      </c>
      <c r="J116" s="5" t="s">
        <v>1764</v>
      </c>
      <c r="K116" s="13">
        <v>0</v>
      </c>
      <c r="L116" s="5" t="s">
        <v>51</v>
      </c>
      <c r="M116" s="13">
        <v>0</v>
      </c>
      <c r="N116" s="5" t="s">
        <v>51</v>
      </c>
      <c r="O116" s="13">
        <v>16750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5" t="s">
        <v>1765</v>
      </c>
      <c r="X116" s="5" t="s">
        <v>51</v>
      </c>
      <c r="Y116" s="1" t="s">
        <v>51</v>
      </c>
      <c r="Z116" s="1" t="s">
        <v>51</v>
      </c>
      <c r="AA116" s="14"/>
      <c r="AB116" s="1" t="s">
        <v>51</v>
      </c>
    </row>
    <row r="117" spans="1:28" ht="30" customHeight="1" x14ac:dyDescent="0.3">
      <c r="A117" s="5" t="s">
        <v>546</v>
      </c>
      <c r="B117" s="5" t="s">
        <v>544</v>
      </c>
      <c r="C117" s="5" t="s">
        <v>545</v>
      </c>
      <c r="D117" s="12" t="s">
        <v>65</v>
      </c>
      <c r="E117" s="13">
        <v>19437</v>
      </c>
      <c r="F117" s="5" t="s">
        <v>1766</v>
      </c>
      <c r="G117" s="13">
        <v>0</v>
      </c>
      <c r="H117" s="5" t="s">
        <v>51</v>
      </c>
      <c r="I117" s="13">
        <v>0</v>
      </c>
      <c r="J117" s="5" t="s">
        <v>51</v>
      </c>
      <c r="K117" s="13">
        <v>0</v>
      </c>
      <c r="L117" s="5" t="s">
        <v>51</v>
      </c>
      <c r="M117" s="13">
        <v>0</v>
      </c>
      <c r="N117" s="5" t="s">
        <v>51</v>
      </c>
      <c r="O117" s="13">
        <v>19437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5" t="s">
        <v>1767</v>
      </c>
      <c r="X117" s="5" t="s">
        <v>51</v>
      </c>
      <c r="Y117" s="1" t="s">
        <v>51</v>
      </c>
      <c r="Z117" s="1" t="s">
        <v>51</v>
      </c>
      <c r="AA117" s="14"/>
      <c r="AB117" s="1" t="s">
        <v>51</v>
      </c>
    </row>
    <row r="118" spans="1:28" ht="30" customHeight="1" x14ac:dyDescent="0.3">
      <c r="A118" s="5" t="s">
        <v>549</v>
      </c>
      <c r="B118" s="5" t="s">
        <v>544</v>
      </c>
      <c r="C118" s="5" t="s">
        <v>548</v>
      </c>
      <c r="D118" s="12" t="s">
        <v>65</v>
      </c>
      <c r="E118" s="13">
        <v>11156</v>
      </c>
      <c r="F118" s="5" t="s">
        <v>1768</v>
      </c>
      <c r="G118" s="13">
        <v>0</v>
      </c>
      <c r="H118" s="5" t="s">
        <v>51</v>
      </c>
      <c r="I118" s="13">
        <v>0</v>
      </c>
      <c r="J118" s="5" t="s">
        <v>51</v>
      </c>
      <c r="K118" s="13">
        <v>0</v>
      </c>
      <c r="L118" s="5" t="s">
        <v>51</v>
      </c>
      <c r="M118" s="13">
        <v>0</v>
      </c>
      <c r="N118" s="5" t="s">
        <v>51</v>
      </c>
      <c r="O118" s="13">
        <v>11156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5" t="s">
        <v>1769</v>
      </c>
      <c r="X118" s="5" t="s">
        <v>51</v>
      </c>
      <c r="Y118" s="1" t="s">
        <v>51</v>
      </c>
      <c r="Z118" s="1" t="s">
        <v>51</v>
      </c>
      <c r="AA118" s="14"/>
      <c r="AB118" s="1" t="s">
        <v>51</v>
      </c>
    </row>
    <row r="119" spans="1:28" ht="30" customHeight="1" x14ac:dyDescent="0.3">
      <c r="A119" s="5" t="s">
        <v>563</v>
      </c>
      <c r="B119" s="5" t="s">
        <v>561</v>
      </c>
      <c r="C119" s="5" t="s">
        <v>562</v>
      </c>
      <c r="D119" s="12" t="s">
        <v>65</v>
      </c>
      <c r="E119" s="13">
        <v>754</v>
      </c>
      <c r="F119" s="5" t="s">
        <v>1770</v>
      </c>
      <c r="G119" s="13">
        <v>1680</v>
      </c>
      <c r="H119" s="5" t="s">
        <v>1771</v>
      </c>
      <c r="I119" s="13">
        <v>5350</v>
      </c>
      <c r="J119" s="5" t="s">
        <v>1760</v>
      </c>
      <c r="K119" s="13">
        <v>0</v>
      </c>
      <c r="L119" s="5" t="s">
        <v>51</v>
      </c>
      <c r="M119" s="13">
        <v>0</v>
      </c>
      <c r="N119" s="5" t="s">
        <v>51</v>
      </c>
      <c r="O119" s="13">
        <v>754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5" t="s">
        <v>1772</v>
      </c>
      <c r="X119" s="5" t="s">
        <v>51</v>
      </c>
      <c r="Y119" s="1" t="s">
        <v>51</v>
      </c>
      <c r="Z119" s="1" t="s">
        <v>51</v>
      </c>
      <c r="AA119" s="14"/>
      <c r="AB119" s="1" t="s">
        <v>51</v>
      </c>
    </row>
    <row r="120" spans="1:28" ht="30" customHeight="1" x14ac:dyDescent="0.3">
      <c r="A120" s="5" t="s">
        <v>567</v>
      </c>
      <c r="B120" s="5" t="s">
        <v>565</v>
      </c>
      <c r="C120" s="5" t="s">
        <v>566</v>
      </c>
      <c r="D120" s="12" t="s">
        <v>65</v>
      </c>
      <c r="E120" s="13">
        <v>55</v>
      </c>
      <c r="F120" s="5" t="s">
        <v>1773</v>
      </c>
      <c r="G120" s="13">
        <v>210</v>
      </c>
      <c r="H120" s="5" t="s">
        <v>1771</v>
      </c>
      <c r="I120" s="13">
        <v>590</v>
      </c>
      <c r="J120" s="5" t="s">
        <v>1760</v>
      </c>
      <c r="K120" s="13">
        <v>0</v>
      </c>
      <c r="L120" s="5" t="s">
        <v>51</v>
      </c>
      <c r="M120" s="13">
        <v>0</v>
      </c>
      <c r="N120" s="5" t="s">
        <v>51</v>
      </c>
      <c r="O120" s="13">
        <v>55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5" t="s">
        <v>1774</v>
      </c>
      <c r="X120" s="5" t="s">
        <v>51</v>
      </c>
      <c r="Y120" s="1" t="s">
        <v>51</v>
      </c>
      <c r="Z120" s="1" t="s">
        <v>51</v>
      </c>
      <c r="AA120" s="14"/>
      <c r="AB120" s="1" t="s">
        <v>51</v>
      </c>
    </row>
    <row r="121" spans="1:28" ht="30" customHeight="1" x14ac:dyDescent="0.3">
      <c r="A121" s="5" t="s">
        <v>571</v>
      </c>
      <c r="B121" s="5" t="s">
        <v>569</v>
      </c>
      <c r="C121" s="5" t="s">
        <v>570</v>
      </c>
      <c r="D121" s="12" t="s">
        <v>65</v>
      </c>
      <c r="E121" s="13">
        <v>2474</v>
      </c>
      <c r="F121" s="5" t="s">
        <v>1775</v>
      </c>
      <c r="G121" s="13">
        <v>2800</v>
      </c>
      <c r="H121" s="5" t="s">
        <v>1776</v>
      </c>
      <c r="I121" s="13">
        <v>2950</v>
      </c>
      <c r="J121" s="5" t="s">
        <v>1760</v>
      </c>
      <c r="K121" s="13">
        <v>0</v>
      </c>
      <c r="L121" s="5" t="s">
        <v>51</v>
      </c>
      <c r="M121" s="13">
        <v>0</v>
      </c>
      <c r="N121" s="5" t="s">
        <v>51</v>
      </c>
      <c r="O121" s="13">
        <v>2474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5" t="s">
        <v>1777</v>
      </c>
      <c r="X121" s="5" t="s">
        <v>51</v>
      </c>
      <c r="Y121" s="1" t="s">
        <v>51</v>
      </c>
      <c r="Z121" s="1" t="s">
        <v>51</v>
      </c>
      <c r="AA121" s="14"/>
      <c r="AB121" s="1" t="s">
        <v>51</v>
      </c>
    </row>
    <row r="122" spans="1:28" ht="30" customHeight="1" x14ac:dyDescent="0.3">
      <c r="A122" s="5" t="s">
        <v>1452</v>
      </c>
      <c r="B122" s="5" t="s">
        <v>544</v>
      </c>
      <c r="C122" s="5" t="s">
        <v>1451</v>
      </c>
      <c r="D122" s="12" t="s">
        <v>65</v>
      </c>
      <c r="E122" s="13">
        <v>458</v>
      </c>
      <c r="F122" s="5" t="s">
        <v>1778</v>
      </c>
      <c r="G122" s="13">
        <v>840</v>
      </c>
      <c r="H122" s="5" t="s">
        <v>1771</v>
      </c>
      <c r="I122" s="13">
        <v>0</v>
      </c>
      <c r="J122" s="5" t="s">
        <v>51</v>
      </c>
      <c r="K122" s="13">
        <v>0</v>
      </c>
      <c r="L122" s="5" t="s">
        <v>51</v>
      </c>
      <c r="M122" s="13">
        <v>0</v>
      </c>
      <c r="N122" s="5" t="s">
        <v>51</v>
      </c>
      <c r="O122" s="13">
        <v>458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5" t="s">
        <v>1779</v>
      </c>
      <c r="X122" s="5" t="s">
        <v>51</v>
      </c>
      <c r="Y122" s="1" t="s">
        <v>51</v>
      </c>
      <c r="Z122" s="1" t="s">
        <v>51</v>
      </c>
      <c r="AA122" s="14"/>
      <c r="AB122" s="1" t="s">
        <v>51</v>
      </c>
    </row>
    <row r="123" spans="1:28" ht="30" customHeight="1" x14ac:dyDescent="0.3">
      <c r="A123" s="5" t="s">
        <v>1445</v>
      </c>
      <c r="B123" s="5" t="s">
        <v>544</v>
      </c>
      <c r="C123" s="5" t="s">
        <v>1444</v>
      </c>
      <c r="D123" s="12" t="s">
        <v>65</v>
      </c>
      <c r="E123" s="13">
        <v>4811</v>
      </c>
      <c r="F123" s="5" t="s">
        <v>1780</v>
      </c>
      <c r="G123" s="13">
        <v>9100</v>
      </c>
      <c r="H123" s="5" t="s">
        <v>1771</v>
      </c>
      <c r="I123" s="13">
        <v>10730</v>
      </c>
      <c r="J123" s="5" t="s">
        <v>1760</v>
      </c>
      <c r="K123" s="13">
        <v>0</v>
      </c>
      <c r="L123" s="5" t="s">
        <v>51</v>
      </c>
      <c r="M123" s="13">
        <v>0</v>
      </c>
      <c r="N123" s="5" t="s">
        <v>51</v>
      </c>
      <c r="O123" s="13">
        <v>4811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5" t="s">
        <v>1781</v>
      </c>
      <c r="X123" s="5" t="s">
        <v>51</v>
      </c>
      <c r="Y123" s="1" t="s">
        <v>51</v>
      </c>
      <c r="Z123" s="1" t="s">
        <v>51</v>
      </c>
      <c r="AA123" s="14"/>
      <c r="AB123" s="1" t="s">
        <v>51</v>
      </c>
    </row>
    <row r="124" spans="1:28" ht="30" customHeight="1" x14ac:dyDescent="0.3">
      <c r="A124" s="5" t="s">
        <v>1449</v>
      </c>
      <c r="B124" s="5" t="s">
        <v>544</v>
      </c>
      <c r="C124" s="5" t="s">
        <v>1448</v>
      </c>
      <c r="D124" s="12" t="s">
        <v>65</v>
      </c>
      <c r="E124" s="13">
        <v>0</v>
      </c>
      <c r="F124" s="5" t="s">
        <v>51</v>
      </c>
      <c r="G124" s="13">
        <v>0</v>
      </c>
      <c r="H124" s="5" t="s">
        <v>51</v>
      </c>
      <c r="I124" s="13">
        <v>6050</v>
      </c>
      <c r="J124" s="5" t="s">
        <v>1782</v>
      </c>
      <c r="K124" s="13">
        <v>0</v>
      </c>
      <c r="L124" s="5" t="s">
        <v>51</v>
      </c>
      <c r="M124" s="13">
        <v>0</v>
      </c>
      <c r="N124" s="5" t="s">
        <v>51</v>
      </c>
      <c r="O124" s="13">
        <v>6050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5" t="s">
        <v>1783</v>
      </c>
      <c r="X124" s="5" t="s">
        <v>51</v>
      </c>
      <c r="Y124" s="1" t="s">
        <v>51</v>
      </c>
      <c r="Z124" s="1" t="s">
        <v>51</v>
      </c>
      <c r="AA124" s="14"/>
      <c r="AB124" s="1" t="s">
        <v>51</v>
      </c>
    </row>
    <row r="125" spans="1:28" ht="30" customHeight="1" x14ac:dyDescent="0.3">
      <c r="A125" s="5" t="s">
        <v>1455</v>
      </c>
      <c r="B125" s="5" t="s">
        <v>544</v>
      </c>
      <c r="C125" s="5" t="s">
        <v>1454</v>
      </c>
      <c r="D125" s="12" t="s">
        <v>65</v>
      </c>
      <c r="E125" s="13">
        <v>0</v>
      </c>
      <c r="F125" s="5" t="s">
        <v>51</v>
      </c>
      <c r="G125" s="13">
        <v>3670</v>
      </c>
      <c r="H125" s="5" t="s">
        <v>1763</v>
      </c>
      <c r="I125" s="13">
        <v>3510</v>
      </c>
      <c r="J125" s="5" t="s">
        <v>1764</v>
      </c>
      <c r="K125" s="13">
        <v>0</v>
      </c>
      <c r="L125" s="5" t="s">
        <v>51</v>
      </c>
      <c r="M125" s="13">
        <v>0</v>
      </c>
      <c r="N125" s="5" t="s">
        <v>51</v>
      </c>
      <c r="O125" s="13">
        <v>3510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5" t="s">
        <v>1784</v>
      </c>
      <c r="X125" s="5" t="s">
        <v>51</v>
      </c>
      <c r="Y125" s="1" t="s">
        <v>51</v>
      </c>
      <c r="Z125" s="1" t="s">
        <v>51</v>
      </c>
      <c r="AA125" s="14"/>
      <c r="AB125" s="1" t="s">
        <v>51</v>
      </c>
    </row>
    <row r="126" spans="1:28" ht="30" customHeight="1" x14ac:dyDescent="0.3">
      <c r="A126" s="5" t="s">
        <v>1080</v>
      </c>
      <c r="B126" s="5" t="s">
        <v>242</v>
      </c>
      <c r="C126" s="5" t="s">
        <v>1079</v>
      </c>
      <c r="D126" s="12" t="s">
        <v>65</v>
      </c>
      <c r="E126" s="13">
        <v>8916</v>
      </c>
      <c r="F126" s="5" t="s">
        <v>1785</v>
      </c>
      <c r="G126" s="13">
        <v>10050</v>
      </c>
      <c r="H126" s="5" t="s">
        <v>1786</v>
      </c>
      <c r="I126" s="13">
        <v>12000</v>
      </c>
      <c r="J126" s="5" t="s">
        <v>1787</v>
      </c>
      <c r="K126" s="13">
        <v>0</v>
      </c>
      <c r="L126" s="5" t="s">
        <v>51</v>
      </c>
      <c r="M126" s="13">
        <v>0</v>
      </c>
      <c r="N126" s="5" t="s">
        <v>51</v>
      </c>
      <c r="O126" s="13">
        <v>8916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5" t="s">
        <v>1788</v>
      </c>
      <c r="X126" s="5" t="s">
        <v>51</v>
      </c>
      <c r="Y126" s="1" t="s">
        <v>51</v>
      </c>
      <c r="Z126" s="1" t="s">
        <v>51</v>
      </c>
      <c r="AA126" s="14"/>
      <c r="AB126" s="1" t="s">
        <v>51</v>
      </c>
    </row>
    <row r="127" spans="1:28" ht="30" customHeight="1" x14ac:dyDescent="0.3">
      <c r="A127" s="5" t="s">
        <v>1088</v>
      </c>
      <c r="B127" s="5" t="s">
        <v>242</v>
      </c>
      <c r="C127" s="5" t="s">
        <v>1087</v>
      </c>
      <c r="D127" s="12" t="s">
        <v>65</v>
      </c>
      <c r="E127" s="13">
        <v>10471</v>
      </c>
      <c r="F127" s="5" t="s">
        <v>1789</v>
      </c>
      <c r="G127" s="13">
        <v>12660</v>
      </c>
      <c r="H127" s="5" t="s">
        <v>1786</v>
      </c>
      <c r="I127" s="13">
        <v>15290</v>
      </c>
      <c r="J127" s="5" t="s">
        <v>1787</v>
      </c>
      <c r="K127" s="13">
        <v>0</v>
      </c>
      <c r="L127" s="5" t="s">
        <v>51</v>
      </c>
      <c r="M127" s="13">
        <v>0</v>
      </c>
      <c r="N127" s="5" t="s">
        <v>51</v>
      </c>
      <c r="O127" s="13">
        <v>10471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5" t="s">
        <v>1790</v>
      </c>
      <c r="X127" s="5" t="s">
        <v>51</v>
      </c>
      <c r="Y127" s="1" t="s">
        <v>51</v>
      </c>
      <c r="Z127" s="1" t="s">
        <v>51</v>
      </c>
      <c r="AA127" s="14"/>
      <c r="AB127" s="1" t="s">
        <v>51</v>
      </c>
    </row>
    <row r="128" spans="1:28" ht="30" customHeight="1" x14ac:dyDescent="0.3">
      <c r="A128" s="5" t="s">
        <v>933</v>
      </c>
      <c r="B128" s="5" t="s">
        <v>147</v>
      </c>
      <c r="C128" s="5" t="s">
        <v>932</v>
      </c>
      <c r="D128" s="12" t="s">
        <v>65</v>
      </c>
      <c r="E128" s="13">
        <v>350</v>
      </c>
      <c r="F128" s="5" t="s">
        <v>1791</v>
      </c>
      <c r="G128" s="13">
        <v>460</v>
      </c>
      <c r="H128" s="5" t="s">
        <v>1792</v>
      </c>
      <c r="I128" s="13">
        <v>544</v>
      </c>
      <c r="J128" s="5" t="s">
        <v>1793</v>
      </c>
      <c r="K128" s="13">
        <v>0</v>
      </c>
      <c r="L128" s="5" t="s">
        <v>51</v>
      </c>
      <c r="M128" s="13">
        <v>0</v>
      </c>
      <c r="N128" s="5" t="s">
        <v>51</v>
      </c>
      <c r="O128" s="13">
        <v>350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5" t="s">
        <v>1794</v>
      </c>
      <c r="X128" s="5" t="s">
        <v>51</v>
      </c>
      <c r="Y128" s="1" t="s">
        <v>51</v>
      </c>
      <c r="Z128" s="1" t="s">
        <v>51</v>
      </c>
      <c r="AA128" s="14"/>
      <c r="AB128" s="1" t="s">
        <v>51</v>
      </c>
    </row>
    <row r="129" spans="1:28" ht="30" customHeight="1" x14ac:dyDescent="0.3">
      <c r="A129" s="5" t="s">
        <v>941</v>
      </c>
      <c r="B129" s="5" t="s">
        <v>147</v>
      </c>
      <c r="C129" s="5" t="s">
        <v>940</v>
      </c>
      <c r="D129" s="12" t="s">
        <v>65</v>
      </c>
      <c r="E129" s="13">
        <v>700</v>
      </c>
      <c r="F129" s="5" t="s">
        <v>1795</v>
      </c>
      <c r="G129" s="13">
        <v>880</v>
      </c>
      <c r="H129" s="5" t="s">
        <v>1792</v>
      </c>
      <c r="I129" s="13">
        <v>1052</v>
      </c>
      <c r="J129" s="5" t="s">
        <v>1793</v>
      </c>
      <c r="K129" s="13">
        <v>0</v>
      </c>
      <c r="L129" s="5" t="s">
        <v>51</v>
      </c>
      <c r="M129" s="13">
        <v>0</v>
      </c>
      <c r="N129" s="5" t="s">
        <v>51</v>
      </c>
      <c r="O129" s="13">
        <v>700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5" t="s">
        <v>1796</v>
      </c>
      <c r="X129" s="5" t="s">
        <v>51</v>
      </c>
      <c r="Y129" s="1" t="s">
        <v>51</v>
      </c>
      <c r="Z129" s="1" t="s">
        <v>51</v>
      </c>
      <c r="AA129" s="14"/>
      <c r="AB129" s="1" t="s">
        <v>51</v>
      </c>
    </row>
    <row r="130" spans="1:28" ht="30" customHeight="1" x14ac:dyDescent="0.3">
      <c r="A130" s="5" t="s">
        <v>1339</v>
      </c>
      <c r="B130" s="5" t="s">
        <v>740</v>
      </c>
      <c r="C130" s="5" t="s">
        <v>487</v>
      </c>
      <c r="D130" s="12" t="s">
        <v>65</v>
      </c>
      <c r="E130" s="13">
        <v>342</v>
      </c>
      <c r="F130" s="5" t="s">
        <v>1797</v>
      </c>
      <c r="G130" s="13">
        <v>360</v>
      </c>
      <c r="H130" s="5" t="s">
        <v>1798</v>
      </c>
      <c r="I130" s="13">
        <v>485</v>
      </c>
      <c r="J130" s="5" t="s">
        <v>1793</v>
      </c>
      <c r="K130" s="13">
        <v>0</v>
      </c>
      <c r="L130" s="5" t="s">
        <v>51</v>
      </c>
      <c r="M130" s="13">
        <v>0</v>
      </c>
      <c r="N130" s="5" t="s">
        <v>51</v>
      </c>
      <c r="O130" s="13">
        <v>342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5" t="s">
        <v>1799</v>
      </c>
      <c r="X130" s="5" t="s">
        <v>51</v>
      </c>
      <c r="Y130" s="1" t="s">
        <v>51</v>
      </c>
      <c r="Z130" s="1" t="s">
        <v>51</v>
      </c>
      <c r="AA130" s="14"/>
      <c r="AB130" s="1" t="s">
        <v>51</v>
      </c>
    </row>
    <row r="131" spans="1:28" ht="30" customHeight="1" x14ac:dyDescent="0.3">
      <c r="A131" s="5" t="s">
        <v>1358</v>
      </c>
      <c r="B131" s="5" t="s">
        <v>740</v>
      </c>
      <c r="C131" s="5" t="s">
        <v>499</v>
      </c>
      <c r="D131" s="12" t="s">
        <v>65</v>
      </c>
      <c r="E131" s="13">
        <v>522</v>
      </c>
      <c r="F131" s="5" t="s">
        <v>1800</v>
      </c>
      <c r="G131" s="13">
        <v>550</v>
      </c>
      <c r="H131" s="5" t="s">
        <v>1798</v>
      </c>
      <c r="I131" s="13">
        <v>613</v>
      </c>
      <c r="J131" s="5" t="s">
        <v>1793</v>
      </c>
      <c r="K131" s="13">
        <v>0</v>
      </c>
      <c r="L131" s="5" t="s">
        <v>51</v>
      </c>
      <c r="M131" s="13">
        <v>0</v>
      </c>
      <c r="N131" s="5" t="s">
        <v>51</v>
      </c>
      <c r="O131" s="13">
        <v>522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5" t="s">
        <v>1801</v>
      </c>
      <c r="X131" s="5" t="s">
        <v>51</v>
      </c>
      <c r="Y131" s="1" t="s">
        <v>51</v>
      </c>
      <c r="Z131" s="1" t="s">
        <v>51</v>
      </c>
      <c r="AA131" s="14"/>
      <c r="AB131" s="1" t="s">
        <v>51</v>
      </c>
    </row>
    <row r="132" spans="1:28" ht="30" customHeight="1" x14ac:dyDescent="0.3">
      <c r="A132" s="5" t="s">
        <v>741</v>
      </c>
      <c r="B132" s="5" t="s">
        <v>740</v>
      </c>
      <c r="C132" s="5" t="s">
        <v>64</v>
      </c>
      <c r="D132" s="12" t="s">
        <v>65</v>
      </c>
      <c r="E132" s="13">
        <v>1180</v>
      </c>
      <c r="F132" s="5" t="s">
        <v>1802</v>
      </c>
      <c r="G132" s="13">
        <v>1260</v>
      </c>
      <c r="H132" s="5" t="s">
        <v>1803</v>
      </c>
      <c r="I132" s="13">
        <v>1498</v>
      </c>
      <c r="J132" s="5" t="s">
        <v>1804</v>
      </c>
      <c r="K132" s="13">
        <v>0</v>
      </c>
      <c r="L132" s="5" t="s">
        <v>51</v>
      </c>
      <c r="M132" s="13">
        <v>0</v>
      </c>
      <c r="N132" s="5" t="s">
        <v>51</v>
      </c>
      <c r="O132" s="13">
        <v>1180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5" t="s">
        <v>1805</v>
      </c>
      <c r="X132" s="5" t="s">
        <v>51</v>
      </c>
      <c r="Y132" s="1" t="s">
        <v>51</v>
      </c>
      <c r="Z132" s="1" t="s">
        <v>51</v>
      </c>
      <c r="AA132" s="14"/>
      <c r="AB132" s="1" t="s">
        <v>51</v>
      </c>
    </row>
    <row r="133" spans="1:28" ht="30" customHeight="1" x14ac:dyDescent="0.3">
      <c r="A133" s="5" t="s">
        <v>948</v>
      </c>
      <c r="B133" s="5" t="s">
        <v>740</v>
      </c>
      <c r="C133" s="5" t="s">
        <v>156</v>
      </c>
      <c r="D133" s="12" t="s">
        <v>65</v>
      </c>
      <c r="E133" s="13">
        <v>1784</v>
      </c>
      <c r="F133" s="5" t="s">
        <v>1806</v>
      </c>
      <c r="G133" s="13">
        <v>1980</v>
      </c>
      <c r="H133" s="5" t="s">
        <v>1798</v>
      </c>
      <c r="I133" s="13">
        <v>2236</v>
      </c>
      <c r="J133" s="5" t="s">
        <v>1793</v>
      </c>
      <c r="K133" s="13">
        <v>0</v>
      </c>
      <c r="L133" s="5" t="s">
        <v>51</v>
      </c>
      <c r="M133" s="13">
        <v>0</v>
      </c>
      <c r="N133" s="5" t="s">
        <v>51</v>
      </c>
      <c r="O133" s="13">
        <v>1784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5" t="s">
        <v>1807</v>
      </c>
      <c r="X133" s="5" t="s">
        <v>51</v>
      </c>
      <c r="Y133" s="1" t="s">
        <v>51</v>
      </c>
      <c r="Z133" s="1" t="s">
        <v>51</v>
      </c>
      <c r="AA133" s="14"/>
      <c r="AB133" s="1" t="s">
        <v>51</v>
      </c>
    </row>
    <row r="134" spans="1:28" ht="30" customHeight="1" x14ac:dyDescent="0.3">
      <c r="A134" s="5" t="s">
        <v>783</v>
      </c>
      <c r="B134" s="5" t="s">
        <v>740</v>
      </c>
      <c r="C134" s="5" t="s">
        <v>92</v>
      </c>
      <c r="D134" s="12" t="s">
        <v>65</v>
      </c>
      <c r="E134" s="13">
        <v>2796</v>
      </c>
      <c r="F134" s="5" t="s">
        <v>1808</v>
      </c>
      <c r="G134" s="13">
        <v>3040</v>
      </c>
      <c r="H134" s="5" t="s">
        <v>1798</v>
      </c>
      <c r="I134" s="13">
        <v>3474</v>
      </c>
      <c r="J134" s="5" t="s">
        <v>1793</v>
      </c>
      <c r="K134" s="13">
        <v>0</v>
      </c>
      <c r="L134" s="5" t="s">
        <v>51</v>
      </c>
      <c r="M134" s="13">
        <v>0</v>
      </c>
      <c r="N134" s="5" t="s">
        <v>51</v>
      </c>
      <c r="O134" s="13">
        <v>2796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5" t="s">
        <v>1809</v>
      </c>
      <c r="X134" s="5" t="s">
        <v>51</v>
      </c>
      <c r="Y134" s="1" t="s">
        <v>51</v>
      </c>
      <c r="Z134" s="1" t="s">
        <v>51</v>
      </c>
      <c r="AA134" s="14"/>
      <c r="AB134" s="1" t="s">
        <v>51</v>
      </c>
    </row>
    <row r="135" spans="1:28" ht="30" customHeight="1" x14ac:dyDescent="0.3">
      <c r="A135" s="5" t="s">
        <v>1157</v>
      </c>
      <c r="B135" s="5" t="s">
        <v>1155</v>
      </c>
      <c r="C135" s="5" t="s">
        <v>1156</v>
      </c>
      <c r="D135" s="12" t="s">
        <v>65</v>
      </c>
      <c r="E135" s="13">
        <v>168</v>
      </c>
      <c r="F135" s="5" t="s">
        <v>1810</v>
      </c>
      <c r="G135" s="13">
        <v>160</v>
      </c>
      <c r="H135" s="5" t="s">
        <v>1811</v>
      </c>
      <c r="I135" s="13">
        <v>278</v>
      </c>
      <c r="J135" s="5" t="s">
        <v>1793</v>
      </c>
      <c r="K135" s="13">
        <v>0</v>
      </c>
      <c r="L135" s="5" t="s">
        <v>51</v>
      </c>
      <c r="M135" s="13">
        <v>0</v>
      </c>
      <c r="N135" s="5" t="s">
        <v>51</v>
      </c>
      <c r="O135" s="13">
        <v>160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5" t="s">
        <v>1812</v>
      </c>
      <c r="X135" s="5" t="s">
        <v>51</v>
      </c>
      <c r="Y135" s="1" t="s">
        <v>51</v>
      </c>
      <c r="Z135" s="1" t="s">
        <v>51</v>
      </c>
      <c r="AA135" s="14"/>
      <c r="AB135" s="1" t="s">
        <v>51</v>
      </c>
    </row>
    <row r="136" spans="1:28" ht="30" customHeight="1" x14ac:dyDescent="0.3">
      <c r="A136" s="5" t="s">
        <v>1317</v>
      </c>
      <c r="B136" s="5" t="s">
        <v>1155</v>
      </c>
      <c r="C136" s="5" t="s">
        <v>1316</v>
      </c>
      <c r="D136" s="12" t="s">
        <v>65</v>
      </c>
      <c r="E136" s="13">
        <v>253</v>
      </c>
      <c r="F136" s="5" t="s">
        <v>1813</v>
      </c>
      <c r="G136" s="13">
        <v>240</v>
      </c>
      <c r="H136" s="5" t="s">
        <v>1811</v>
      </c>
      <c r="I136" s="13">
        <v>416</v>
      </c>
      <c r="J136" s="5" t="s">
        <v>1793</v>
      </c>
      <c r="K136" s="13">
        <v>0</v>
      </c>
      <c r="L136" s="5" t="s">
        <v>51</v>
      </c>
      <c r="M136" s="13">
        <v>0</v>
      </c>
      <c r="N136" s="5" t="s">
        <v>51</v>
      </c>
      <c r="O136" s="13">
        <v>240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5" t="s">
        <v>1814</v>
      </c>
      <c r="X136" s="5" t="s">
        <v>51</v>
      </c>
      <c r="Y136" s="1" t="s">
        <v>51</v>
      </c>
      <c r="Z136" s="1" t="s">
        <v>51</v>
      </c>
      <c r="AA136" s="14"/>
      <c r="AB136" s="1" t="s">
        <v>51</v>
      </c>
    </row>
    <row r="137" spans="1:28" ht="30" customHeight="1" x14ac:dyDescent="0.3">
      <c r="A137" s="5" t="s">
        <v>1231</v>
      </c>
      <c r="B137" s="5" t="s">
        <v>1155</v>
      </c>
      <c r="C137" s="5" t="s">
        <v>1230</v>
      </c>
      <c r="D137" s="12" t="s">
        <v>65</v>
      </c>
      <c r="E137" s="13">
        <v>168</v>
      </c>
      <c r="F137" s="5" t="s">
        <v>1810</v>
      </c>
      <c r="G137" s="13">
        <v>160</v>
      </c>
      <c r="H137" s="5" t="s">
        <v>1811</v>
      </c>
      <c r="I137" s="13">
        <v>278</v>
      </c>
      <c r="J137" s="5" t="s">
        <v>1793</v>
      </c>
      <c r="K137" s="13">
        <v>0</v>
      </c>
      <c r="L137" s="5" t="s">
        <v>51</v>
      </c>
      <c r="M137" s="13">
        <v>0</v>
      </c>
      <c r="N137" s="5" t="s">
        <v>51</v>
      </c>
      <c r="O137" s="13">
        <v>160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5" t="s">
        <v>1815</v>
      </c>
      <c r="X137" s="5" t="s">
        <v>51</v>
      </c>
      <c r="Y137" s="1" t="s">
        <v>51</v>
      </c>
      <c r="Z137" s="1" t="s">
        <v>51</v>
      </c>
      <c r="AA137" s="14"/>
      <c r="AB137" s="1" t="s">
        <v>51</v>
      </c>
    </row>
    <row r="138" spans="1:28" ht="30" customHeight="1" x14ac:dyDescent="0.3">
      <c r="A138" s="5" t="s">
        <v>1223</v>
      </c>
      <c r="B138" s="5" t="s">
        <v>357</v>
      </c>
      <c r="C138" s="5" t="s">
        <v>1222</v>
      </c>
      <c r="D138" s="12" t="s">
        <v>58</v>
      </c>
      <c r="E138" s="13">
        <v>600</v>
      </c>
      <c r="F138" s="5" t="s">
        <v>1816</v>
      </c>
      <c r="G138" s="13">
        <v>720</v>
      </c>
      <c r="H138" s="5" t="s">
        <v>1786</v>
      </c>
      <c r="I138" s="13">
        <v>544</v>
      </c>
      <c r="J138" s="5" t="s">
        <v>1751</v>
      </c>
      <c r="K138" s="13">
        <v>0</v>
      </c>
      <c r="L138" s="5" t="s">
        <v>51</v>
      </c>
      <c r="M138" s="13">
        <v>0</v>
      </c>
      <c r="N138" s="5" t="s">
        <v>51</v>
      </c>
      <c r="O138" s="13">
        <v>544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5" t="s">
        <v>1817</v>
      </c>
      <c r="X138" s="5" t="s">
        <v>51</v>
      </c>
      <c r="Y138" s="1" t="s">
        <v>51</v>
      </c>
      <c r="Z138" s="1" t="s">
        <v>51</v>
      </c>
      <c r="AA138" s="14"/>
      <c r="AB138" s="1" t="s">
        <v>51</v>
      </c>
    </row>
    <row r="139" spans="1:28" ht="30" customHeight="1" x14ac:dyDescent="0.3">
      <c r="A139" s="5" t="s">
        <v>1381</v>
      </c>
      <c r="B139" s="5" t="s">
        <v>357</v>
      </c>
      <c r="C139" s="5" t="s">
        <v>1380</v>
      </c>
      <c r="D139" s="12" t="s">
        <v>58</v>
      </c>
      <c r="E139" s="13">
        <v>1421</v>
      </c>
      <c r="F139" s="5" t="s">
        <v>1818</v>
      </c>
      <c r="G139" s="13">
        <v>1950</v>
      </c>
      <c r="H139" s="5" t="s">
        <v>1786</v>
      </c>
      <c r="I139" s="13">
        <v>2431</v>
      </c>
      <c r="J139" s="5" t="s">
        <v>1751</v>
      </c>
      <c r="K139" s="13">
        <v>0</v>
      </c>
      <c r="L139" s="5" t="s">
        <v>51</v>
      </c>
      <c r="M139" s="13">
        <v>0</v>
      </c>
      <c r="N139" s="5" t="s">
        <v>51</v>
      </c>
      <c r="O139" s="13">
        <v>1421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5" t="s">
        <v>1819</v>
      </c>
      <c r="X139" s="5" t="s">
        <v>51</v>
      </c>
      <c r="Y139" s="1" t="s">
        <v>51</v>
      </c>
      <c r="Z139" s="1" t="s">
        <v>51</v>
      </c>
      <c r="AA139" s="14"/>
      <c r="AB139" s="1" t="s">
        <v>51</v>
      </c>
    </row>
    <row r="140" spans="1:28" ht="30" customHeight="1" x14ac:dyDescent="0.3">
      <c r="A140" s="5" t="s">
        <v>1389</v>
      </c>
      <c r="B140" s="5" t="s">
        <v>357</v>
      </c>
      <c r="C140" s="5" t="s">
        <v>1388</v>
      </c>
      <c r="D140" s="12" t="s">
        <v>58</v>
      </c>
      <c r="E140" s="13">
        <v>2777</v>
      </c>
      <c r="F140" s="5" t="s">
        <v>1820</v>
      </c>
      <c r="G140" s="13">
        <v>3570</v>
      </c>
      <c r="H140" s="5" t="s">
        <v>1786</v>
      </c>
      <c r="I140" s="13">
        <v>5016</v>
      </c>
      <c r="J140" s="5" t="s">
        <v>1751</v>
      </c>
      <c r="K140" s="13">
        <v>0</v>
      </c>
      <c r="L140" s="5" t="s">
        <v>51</v>
      </c>
      <c r="M140" s="13">
        <v>0</v>
      </c>
      <c r="N140" s="5" t="s">
        <v>51</v>
      </c>
      <c r="O140" s="13">
        <v>2777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5" t="s">
        <v>1821</v>
      </c>
      <c r="X140" s="5" t="s">
        <v>51</v>
      </c>
      <c r="Y140" s="1" t="s">
        <v>51</v>
      </c>
      <c r="Z140" s="1" t="s">
        <v>51</v>
      </c>
      <c r="AA140" s="14"/>
      <c r="AB140" s="1" t="s">
        <v>51</v>
      </c>
    </row>
    <row r="141" spans="1:28" ht="30" customHeight="1" x14ac:dyDescent="0.3">
      <c r="A141" s="5" t="s">
        <v>355</v>
      </c>
      <c r="B141" s="5" t="s">
        <v>353</v>
      </c>
      <c r="C141" s="5" t="s">
        <v>354</v>
      </c>
      <c r="D141" s="12" t="s">
        <v>58</v>
      </c>
      <c r="E141" s="13">
        <v>354</v>
      </c>
      <c r="F141" s="5" t="s">
        <v>1822</v>
      </c>
      <c r="G141" s="13">
        <v>340</v>
      </c>
      <c r="H141" s="5" t="s">
        <v>1786</v>
      </c>
      <c r="I141" s="13">
        <v>346</v>
      </c>
      <c r="J141" s="5" t="s">
        <v>1751</v>
      </c>
      <c r="K141" s="13">
        <v>0</v>
      </c>
      <c r="L141" s="5" t="s">
        <v>51</v>
      </c>
      <c r="M141" s="13">
        <v>0</v>
      </c>
      <c r="N141" s="5" t="s">
        <v>51</v>
      </c>
      <c r="O141" s="13">
        <v>340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5" t="s">
        <v>1823</v>
      </c>
      <c r="X141" s="5" t="s">
        <v>51</v>
      </c>
      <c r="Y141" s="1" t="s">
        <v>51</v>
      </c>
      <c r="Z141" s="1" t="s">
        <v>51</v>
      </c>
      <c r="AA141" s="14"/>
      <c r="AB141" s="1" t="s">
        <v>51</v>
      </c>
    </row>
    <row r="142" spans="1:28" ht="30" customHeight="1" x14ac:dyDescent="0.3">
      <c r="A142" s="5" t="s">
        <v>514</v>
      </c>
      <c r="B142" s="5" t="s">
        <v>512</v>
      </c>
      <c r="C142" s="5" t="s">
        <v>513</v>
      </c>
      <c r="D142" s="12" t="s">
        <v>58</v>
      </c>
      <c r="E142" s="13">
        <v>2367</v>
      </c>
      <c r="F142" s="5" t="s">
        <v>1824</v>
      </c>
      <c r="G142" s="13">
        <v>1500</v>
      </c>
      <c r="H142" s="5" t="s">
        <v>1786</v>
      </c>
      <c r="I142" s="13">
        <v>1485</v>
      </c>
      <c r="J142" s="5" t="s">
        <v>1751</v>
      </c>
      <c r="K142" s="13">
        <v>0</v>
      </c>
      <c r="L142" s="5" t="s">
        <v>51</v>
      </c>
      <c r="M142" s="13">
        <v>0</v>
      </c>
      <c r="N142" s="5" t="s">
        <v>51</v>
      </c>
      <c r="O142" s="13">
        <v>1485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5" t="s">
        <v>1825</v>
      </c>
      <c r="X142" s="5" t="s">
        <v>51</v>
      </c>
      <c r="Y142" s="1" t="s">
        <v>51</v>
      </c>
      <c r="Z142" s="1" t="s">
        <v>51</v>
      </c>
      <c r="AA142" s="14"/>
      <c r="AB142" s="1" t="s">
        <v>51</v>
      </c>
    </row>
    <row r="143" spans="1:28" ht="30" customHeight="1" x14ac:dyDescent="0.3">
      <c r="A143" s="5" t="s">
        <v>517</v>
      </c>
      <c r="B143" s="5" t="s">
        <v>512</v>
      </c>
      <c r="C143" s="5" t="s">
        <v>516</v>
      </c>
      <c r="D143" s="12" t="s">
        <v>58</v>
      </c>
      <c r="E143" s="13">
        <v>3868</v>
      </c>
      <c r="F143" s="5" t="s">
        <v>1826</v>
      </c>
      <c r="G143" s="13">
        <v>2750</v>
      </c>
      <c r="H143" s="5" t="s">
        <v>1786</v>
      </c>
      <c r="I143" s="13">
        <v>2761</v>
      </c>
      <c r="J143" s="5" t="s">
        <v>1751</v>
      </c>
      <c r="K143" s="13">
        <v>0</v>
      </c>
      <c r="L143" s="5" t="s">
        <v>51</v>
      </c>
      <c r="M143" s="13">
        <v>0</v>
      </c>
      <c r="N143" s="5" t="s">
        <v>51</v>
      </c>
      <c r="O143" s="13">
        <v>2750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5" t="s">
        <v>1827</v>
      </c>
      <c r="X143" s="5" t="s">
        <v>51</v>
      </c>
      <c r="Y143" s="1" t="s">
        <v>51</v>
      </c>
      <c r="Z143" s="1" t="s">
        <v>51</v>
      </c>
      <c r="AA143" s="14"/>
      <c r="AB143" s="1" t="s">
        <v>51</v>
      </c>
    </row>
    <row r="144" spans="1:28" ht="30" customHeight="1" x14ac:dyDescent="0.3">
      <c r="A144" s="5" t="s">
        <v>1097</v>
      </c>
      <c r="B144" s="5" t="s">
        <v>1095</v>
      </c>
      <c r="C144" s="5" t="s">
        <v>1096</v>
      </c>
      <c r="D144" s="12" t="s">
        <v>58</v>
      </c>
      <c r="E144" s="13">
        <v>586</v>
      </c>
      <c r="F144" s="5" t="s">
        <v>1828</v>
      </c>
      <c r="G144" s="13">
        <v>1050</v>
      </c>
      <c r="H144" s="5" t="s">
        <v>1786</v>
      </c>
      <c r="I144" s="13">
        <v>1272</v>
      </c>
      <c r="J144" s="5" t="s">
        <v>1829</v>
      </c>
      <c r="K144" s="13">
        <v>0</v>
      </c>
      <c r="L144" s="5" t="s">
        <v>51</v>
      </c>
      <c r="M144" s="13">
        <v>0</v>
      </c>
      <c r="N144" s="5" t="s">
        <v>51</v>
      </c>
      <c r="O144" s="13">
        <v>586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5" t="s">
        <v>1830</v>
      </c>
      <c r="X144" s="5" t="s">
        <v>51</v>
      </c>
      <c r="Y144" s="1" t="s">
        <v>51</v>
      </c>
      <c r="Z144" s="1" t="s">
        <v>51</v>
      </c>
      <c r="AA144" s="14"/>
      <c r="AB144" s="1" t="s">
        <v>51</v>
      </c>
    </row>
    <row r="145" spans="1:28" ht="30" customHeight="1" x14ac:dyDescent="0.3">
      <c r="A145" s="5" t="s">
        <v>1119</v>
      </c>
      <c r="B145" s="5" t="s">
        <v>1095</v>
      </c>
      <c r="C145" s="5" t="s">
        <v>1118</v>
      </c>
      <c r="D145" s="12" t="s">
        <v>58</v>
      </c>
      <c r="E145" s="13">
        <v>636</v>
      </c>
      <c r="F145" s="5" t="s">
        <v>1831</v>
      </c>
      <c r="G145" s="13">
        <v>1210</v>
      </c>
      <c r="H145" s="5" t="s">
        <v>1786</v>
      </c>
      <c r="I145" s="13">
        <v>1422</v>
      </c>
      <c r="J145" s="5" t="s">
        <v>1829</v>
      </c>
      <c r="K145" s="13">
        <v>0</v>
      </c>
      <c r="L145" s="5" t="s">
        <v>51</v>
      </c>
      <c r="M145" s="13">
        <v>0</v>
      </c>
      <c r="N145" s="5" t="s">
        <v>51</v>
      </c>
      <c r="O145" s="13">
        <v>636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5" t="s">
        <v>1832</v>
      </c>
      <c r="X145" s="5" t="s">
        <v>51</v>
      </c>
      <c r="Y145" s="1" t="s">
        <v>51</v>
      </c>
      <c r="Z145" s="1" t="s">
        <v>51</v>
      </c>
      <c r="AA145" s="14"/>
      <c r="AB145" s="1" t="s">
        <v>51</v>
      </c>
    </row>
    <row r="146" spans="1:28" ht="30" customHeight="1" x14ac:dyDescent="0.3">
      <c r="A146" s="5" t="s">
        <v>963</v>
      </c>
      <c r="B146" s="5" t="s">
        <v>792</v>
      </c>
      <c r="C146" s="5" t="s">
        <v>962</v>
      </c>
      <c r="D146" s="12" t="s">
        <v>58</v>
      </c>
      <c r="E146" s="13">
        <v>19488</v>
      </c>
      <c r="F146" s="5" t="s">
        <v>1833</v>
      </c>
      <c r="G146" s="13">
        <v>23100</v>
      </c>
      <c r="H146" s="5" t="s">
        <v>1798</v>
      </c>
      <c r="I146" s="13">
        <v>0</v>
      </c>
      <c r="J146" s="5" t="s">
        <v>51</v>
      </c>
      <c r="K146" s="13">
        <v>0</v>
      </c>
      <c r="L146" s="5" t="s">
        <v>51</v>
      </c>
      <c r="M146" s="13">
        <v>0</v>
      </c>
      <c r="N146" s="5" t="s">
        <v>51</v>
      </c>
      <c r="O146" s="13">
        <v>19488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5" t="s">
        <v>1834</v>
      </c>
      <c r="X146" s="5" t="s">
        <v>51</v>
      </c>
      <c r="Y146" s="1" t="s">
        <v>51</v>
      </c>
      <c r="Z146" s="1" t="s">
        <v>51</v>
      </c>
      <c r="AA146" s="14"/>
      <c r="AB146" s="1" t="s">
        <v>51</v>
      </c>
    </row>
    <row r="147" spans="1:28" ht="30" customHeight="1" x14ac:dyDescent="0.3">
      <c r="A147" s="5" t="s">
        <v>794</v>
      </c>
      <c r="B147" s="5" t="s">
        <v>792</v>
      </c>
      <c r="C147" s="5" t="s">
        <v>793</v>
      </c>
      <c r="D147" s="12" t="s">
        <v>58</v>
      </c>
      <c r="E147" s="13">
        <v>25049</v>
      </c>
      <c r="F147" s="5" t="s">
        <v>1835</v>
      </c>
      <c r="G147" s="13">
        <v>31900</v>
      </c>
      <c r="H147" s="5" t="s">
        <v>1798</v>
      </c>
      <c r="I147" s="13">
        <v>0</v>
      </c>
      <c r="J147" s="5" t="s">
        <v>51</v>
      </c>
      <c r="K147" s="13">
        <v>0</v>
      </c>
      <c r="L147" s="5" t="s">
        <v>51</v>
      </c>
      <c r="M147" s="13">
        <v>0</v>
      </c>
      <c r="N147" s="5" t="s">
        <v>51</v>
      </c>
      <c r="O147" s="13">
        <v>25049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5" t="s">
        <v>1836</v>
      </c>
      <c r="X147" s="5" t="s">
        <v>51</v>
      </c>
      <c r="Y147" s="1" t="s">
        <v>51</v>
      </c>
      <c r="Z147" s="1" t="s">
        <v>51</v>
      </c>
      <c r="AA147" s="14"/>
      <c r="AB147" s="1" t="s">
        <v>51</v>
      </c>
    </row>
    <row r="148" spans="1:28" ht="30" customHeight="1" x14ac:dyDescent="0.3">
      <c r="A148" s="5" t="s">
        <v>221</v>
      </c>
      <c r="B148" s="5" t="s">
        <v>219</v>
      </c>
      <c r="C148" s="5" t="s">
        <v>220</v>
      </c>
      <c r="D148" s="12" t="s">
        <v>58</v>
      </c>
      <c r="E148" s="13">
        <v>8397</v>
      </c>
      <c r="F148" s="5" t="s">
        <v>1837</v>
      </c>
      <c r="G148" s="13">
        <v>10700</v>
      </c>
      <c r="H148" s="5" t="s">
        <v>1786</v>
      </c>
      <c r="I148" s="13">
        <v>10696</v>
      </c>
      <c r="J148" s="5" t="s">
        <v>1829</v>
      </c>
      <c r="K148" s="13">
        <v>0</v>
      </c>
      <c r="L148" s="5" t="s">
        <v>51</v>
      </c>
      <c r="M148" s="13">
        <v>0</v>
      </c>
      <c r="N148" s="5" t="s">
        <v>51</v>
      </c>
      <c r="O148" s="13">
        <v>8397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5" t="s">
        <v>1838</v>
      </c>
      <c r="X148" s="5" t="s">
        <v>51</v>
      </c>
      <c r="Y148" s="1" t="s">
        <v>51</v>
      </c>
      <c r="Z148" s="1" t="s">
        <v>51</v>
      </c>
      <c r="AA148" s="14"/>
      <c r="AB148" s="1" t="s">
        <v>51</v>
      </c>
    </row>
    <row r="149" spans="1:28" ht="30" customHeight="1" x14ac:dyDescent="0.3">
      <c r="A149" s="5" t="s">
        <v>224</v>
      </c>
      <c r="B149" s="5" t="s">
        <v>219</v>
      </c>
      <c r="C149" s="5" t="s">
        <v>223</v>
      </c>
      <c r="D149" s="12" t="s">
        <v>58</v>
      </c>
      <c r="E149" s="13">
        <v>14058</v>
      </c>
      <c r="F149" s="5" t="s">
        <v>1839</v>
      </c>
      <c r="G149" s="13">
        <v>16800</v>
      </c>
      <c r="H149" s="5" t="s">
        <v>1786</v>
      </c>
      <c r="I149" s="13">
        <v>17615</v>
      </c>
      <c r="J149" s="5" t="s">
        <v>1829</v>
      </c>
      <c r="K149" s="13">
        <v>0</v>
      </c>
      <c r="L149" s="5" t="s">
        <v>51</v>
      </c>
      <c r="M149" s="13">
        <v>0</v>
      </c>
      <c r="N149" s="5" t="s">
        <v>51</v>
      </c>
      <c r="O149" s="13">
        <v>14058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5" t="s">
        <v>1840</v>
      </c>
      <c r="X149" s="5" t="s">
        <v>51</v>
      </c>
      <c r="Y149" s="1" t="s">
        <v>51</v>
      </c>
      <c r="Z149" s="1" t="s">
        <v>51</v>
      </c>
      <c r="AA149" s="14"/>
      <c r="AB149" s="1" t="s">
        <v>51</v>
      </c>
    </row>
    <row r="150" spans="1:28" ht="30" customHeight="1" x14ac:dyDescent="0.3">
      <c r="A150" s="5" t="s">
        <v>618</v>
      </c>
      <c r="B150" s="5" t="s">
        <v>616</v>
      </c>
      <c r="C150" s="5" t="s">
        <v>617</v>
      </c>
      <c r="D150" s="12" t="s">
        <v>58</v>
      </c>
      <c r="E150" s="13">
        <v>0</v>
      </c>
      <c r="F150" s="5" t="s">
        <v>51</v>
      </c>
      <c r="G150" s="13">
        <v>0</v>
      </c>
      <c r="H150" s="5" t="s">
        <v>51</v>
      </c>
      <c r="I150" s="13">
        <v>0</v>
      </c>
      <c r="J150" s="5" t="s">
        <v>51</v>
      </c>
      <c r="K150" s="13">
        <v>0</v>
      </c>
      <c r="L150" s="5" t="s">
        <v>51</v>
      </c>
      <c r="M150" s="13">
        <v>2484</v>
      </c>
      <c r="N150" s="5" t="s">
        <v>51</v>
      </c>
      <c r="O150" s="13">
        <v>2484</v>
      </c>
      <c r="P150" s="13">
        <v>18825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5" t="s">
        <v>1841</v>
      </c>
      <c r="X150" s="5" t="s">
        <v>51</v>
      </c>
      <c r="Y150" s="1" t="s">
        <v>51</v>
      </c>
      <c r="Z150" s="1" t="s">
        <v>51</v>
      </c>
      <c r="AA150" s="14"/>
      <c r="AB150" s="1" t="s">
        <v>51</v>
      </c>
    </row>
    <row r="151" spans="1:28" ht="30" customHeight="1" x14ac:dyDescent="0.3">
      <c r="A151" s="5" t="s">
        <v>622</v>
      </c>
      <c r="B151" s="5" t="s">
        <v>620</v>
      </c>
      <c r="C151" s="5" t="s">
        <v>621</v>
      </c>
      <c r="D151" s="12" t="s">
        <v>58</v>
      </c>
      <c r="E151" s="13">
        <v>0</v>
      </c>
      <c r="F151" s="5" t="s">
        <v>51</v>
      </c>
      <c r="G151" s="13">
        <v>0</v>
      </c>
      <c r="H151" s="5" t="s">
        <v>51</v>
      </c>
      <c r="I151" s="13">
        <v>0</v>
      </c>
      <c r="J151" s="5" t="s">
        <v>51</v>
      </c>
      <c r="K151" s="13">
        <v>0</v>
      </c>
      <c r="L151" s="5" t="s">
        <v>51</v>
      </c>
      <c r="M151" s="13">
        <v>8000</v>
      </c>
      <c r="N151" s="5" t="s">
        <v>51</v>
      </c>
      <c r="O151" s="13">
        <v>8000</v>
      </c>
      <c r="P151" s="13">
        <v>5471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5" t="s">
        <v>1842</v>
      </c>
      <c r="X151" s="5" t="s">
        <v>51</v>
      </c>
      <c r="Y151" s="1" t="s">
        <v>51</v>
      </c>
      <c r="Z151" s="1" t="s">
        <v>51</v>
      </c>
      <c r="AA151" s="14"/>
      <c r="AB151" s="1" t="s">
        <v>51</v>
      </c>
    </row>
    <row r="152" spans="1:28" ht="30" customHeight="1" x14ac:dyDescent="0.3">
      <c r="A152" s="5" t="s">
        <v>966</v>
      </c>
      <c r="B152" s="5" t="s">
        <v>792</v>
      </c>
      <c r="C152" s="5" t="s">
        <v>965</v>
      </c>
      <c r="D152" s="12" t="s">
        <v>58</v>
      </c>
      <c r="E152" s="13">
        <v>4060</v>
      </c>
      <c r="F152" s="5" t="s">
        <v>1843</v>
      </c>
      <c r="G152" s="13">
        <v>6300</v>
      </c>
      <c r="H152" s="5" t="s">
        <v>1844</v>
      </c>
      <c r="I152" s="13">
        <v>0</v>
      </c>
      <c r="J152" s="5" t="s">
        <v>51</v>
      </c>
      <c r="K152" s="13">
        <v>0</v>
      </c>
      <c r="L152" s="5" t="s">
        <v>51</v>
      </c>
      <c r="M152" s="13">
        <v>0</v>
      </c>
      <c r="N152" s="5" t="s">
        <v>51</v>
      </c>
      <c r="O152" s="13">
        <v>4060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5" t="s">
        <v>1845</v>
      </c>
      <c r="X152" s="5" t="s">
        <v>51</v>
      </c>
      <c r="Y152" s="1" t="s">
        <v>51</v>
      </c>
      <c r="Z152" s="1" t="s">
        <v>51</v>
      </c>
      <c r="AA152" s="14"/>
      <c r="AB152" s="1" t="s">
        <v>51</v>
      </c>
    </row>
    <row r="153" spans="1:28" ht="30" customHeight="1" x14ac:dyDescent="0.3">
      <c r="A153" s="5" t="s">
        <v>798</v>
      </c>
      <c r="B153" s="5" t="s">
        <v>796</v>
      </c>
      <c r="C153" s="5" t="s">
        <v>797</v>
      </c>
      <c r="D153" s="12" t="s">
        <v>58</v>
      </c>
      <c r="E153" s="13">
        <v>5415</v>
      </c>
      <c r="F153" s="5" t="s">
        <v>1846</v>
      </c>
      <c r="G153" s="13">
        <v>9900</v>
      </c>
      <c r="H153" s="5" t="s">
        <v>1844</v>
      </c>
      <c r="I153" s="13">
        <v>0</v>
      </c>
      <c r="J153" s="5" t="s">
        <v>51</v>
      </c>
      <c r="K153" s="13">
        <v>0</v>
      </c>
      <c r="L153" s="5" t="s">
        <v>51</v>
      </c>
      <c r="M153" s="13">
        <v>0</v>
      </c>
      <c r="N153" s="5" t="s">
        <v>51</v>
      </c>
      <c r="O153" s="13">
        <v>5415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5" t="s">
        <v>1847</v>
      </c>
      <c r="X153" s="5" t="s">
        <v>51</v>
      </c>
      <c r="Y153" s="1" t="s">
        <v>51</v>
      </c>
      <c r="Z153" s="1" t="s">
        <v>51</v>
      </c>
      <c r="AA153" s="14"/>
      <c r="AB153" s="1" t="s">
        <v>51</v>
      </c>
    </row>
    <row r="154" spans="1:28" ht="30" customHeight="1" x14ac:dyDescent="0.3">
      <c r="A154" s="5" t="s">
        <v>1060</v>
      </c>
      <c r="B154" s="5" t="s">
        <v>1058</v>
      </c>
      <c r="C154" s="5" t="s">
        <v>51</v>
      </c>
      <c r="D154" s="12" t="s">
        <v>211</v>
      </c>
      <c r="E154" s="13">
        <v>0</v>
      </c>
      <c r="F154" s="5" t="s">
        <v>51</v>
      </c>
      <c r="G154" s="13">
        <v>0</v>
      </c>
      <c r="H154" s="5" t="s">
        <v>51</v>
      </c>
      <c r="I154" s="13">
        <v>0</v>
      </c>
      <c r="J154" s="5" t="s">
        <v>51</v>
      </c>
      <c r="K154" s="13">
        <v>0</v>
      </c>
      <c r="L154" s="5" t="s">
        <v>51</v>
      </c>
      <c r="M154" s="13">
        <v>0</v>
      </c>
      <c r="N154" s="5" t="s">
        <v>51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5" t="s">
        <v>1848</v>
      </c>
      <c r="X154" s="5" t="s">
        <v>51</v>
      </c>
      <c r="Y154" s="1" t="s">
        <v>51</v>
      </c>
      <c r="Z154" s="1" t="s">
        <v>51</v>
      </c>
      <c r="AA154" s="14"/>
      <c r="AB154" s="1" t="s">
        <v>51</v>
      </c>
    </row>
    <row r="155" spans="1:28" ht="30" customHeight="1" x14ac:dyDescent="0.3">
      <c r="A155" s="5" t="s">
        <v>1067</v>
      </c>
      <c r="B155" s="5" t="s">
        <v>1065</v>
      </c>
      <c r="C155" s="5" t="s">
        <v>51</v>
      </c>
      <c r="D155" s="12" t="s">
        <v>211</v>
      </c>
      <c r="E155" s="13">
        <v>0</v>
      </c>
      <c r="F155" s="5" t="s">
        <v>51</v>
      </c>
      <c r="G155" s="13">
        <v>0</v>
      </c>
      <c r="H155" s="5" t="s">
        <v>51</v>
      </c>
      <c r="I155" s="13">
        <v>0</v>
      </c>
      <c r="J155" s="5" t="s">
        <v>51</v>
      </c>
      <c r="K155" s="13">
        <v>0</v>
      </c>
      <c r="L155" s="5" t="s">
        <v>51</v>
      </c>
      <c r="M155" s="13">
        <v>0</v>
      </c>
      <c r="N155" s="5" t="s">
        <v>51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5" t="s">
        <v>1849</v>
      </c>
      <c r="X155" s="5" t="s">
        <v>51</v>
      </c>
      <c r="Y155" s="1" t="s">
        <v>51</v>
      </c>
      <c r="Z155" s="1" t="s">
        <v>51</v>
      </c>
      <c r="AA155" s="14"/>
      <c r="AB155" s="1" t="s">
        <v>51</v>
      </c>
    </row>
    <row r="156" spans="1:28" ht="30" customHeight="1" x14ac:dyDescent="0.3">
      <c r="A156" s="5" t="s">
        <v>1039</v>
      </c>
      <c r="B156" s="5" t="s">
        <v>1037</v>
      </c>
      <c r="C156" s="5" t="s">
        <v>51</v>
      </c>
      <c r="D156" s="12" t="s">
        <v>211</v>
      </c>
      <c r="E156" s="13">
        <v>0</v>
      </c>
      <c r="F156" s="5" t="s">
        <v>51</v>
      </c>
      <c r="G156" s="13">
        <v>0</v>
      </c>
      <c r="H156" s="5" t="s">
        <v>51</v>
      </c>
      <c r="I156" s="13">
        <v>0</v>
      </c>
      <c r="J156" s="5" t="s">
        <v>51</v>
      </c>
      <c r="K156" s="13">
        <v>0</v>
      </c>
      <c r="L156" s="5" t="s">
        <v>51</v>
      </c>
      <c r="M156" s="13">
        <v>0</v>
      </c>
      <c r="N156" s="5" t="s">
        <v>51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5" t="s">
        <v>1850</v>
      </c>
      <c r="X156" s="5" t="s">
        <v>51</v>
      </c>
      <c r="Y156" s="1" t="s">
        <v>51</v>
      </c>
      <c r="Z156" s="1" t="s">
        <v>51</v>
      </c>
      <c r="AA156" s="14"/>
      <c r="AB156" s="1" t="s">
        <v>51</v>
      </c>
    </row>
    <row r="157" spans="1:28" ht="30" customHeight="1" x14ac:dyDescent="0.3">
      <c r="A157" s="5" t="s">
        <v>1053</v>
      </c>
      <c r="B157" s="5" t="s">
        <v>1051</v>
      </c>
      <c r="C157" s="5" t="s">
        <v>51</v>
      </c>
      <c r="D157" s="12" t="s">
        <v>211</v>
      </c>
      <c r="E157" s="13">
        <v>0</v>
      </c>
      <c r="F157" s="5" t="s">
        <v>51</v>
      </c>
      <c r="G157" s="13">
        <v>0</v>
      </c>
      <c r="H157" s="5" t="s">
        <v>51</v>
      </c>
      <c r="I157" s="13">
        <v>0</v>
      </c>
      <c r="J157" s="5" t="s">
        <v>51</v>
      </c>
      <c r="K157" s="13">
        <v>0</v>
      </c>
      <c r="L157" s="5" t="s">
        <v>51</v>
      </c>
      <c r="M157" s="13">
        <v>0</v>
      </c>
      <c r="N157" s="5" t="s">
        <v>51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5" t="s">
        <v>1851</v>
      </c>
      <c r="X157" s="5" t="s">
        <v>51</v>
      </c>
      <c r="Y157" s="1" t="s">
        <v>51</v>
      </c>
      <c r="Z157" s="1" t="s">
        <v>51</v>
      </c>
      <c r="AA157" s="14"/>
      <c r="AB157" s="1" t="s">
        <v>51</v>
      </c>
    </row>
    <row r="158" spans="1:28" ht="30" customHeight="1" x14ac:dyDescent="0.3">
      <c r="A158" s="5" t="s">
        <v>1074</v>
      </c>
      <c r="B158" s="5" t="s">
        <v>1072</v>
      </c>
      <c r="C158" s="5" t="s">
        <v>51</v>
      </c>
      <c r="D158" s="12" t="s">
        <v>211</v>
      </c>
      <c r="E158" s="13">
        <v>0</v>
      </c>
      <c r="F158" s="5" t="s">
        <v>51</v>
      </c>
      <c r="G158" s="13">
        <v>0</v>
      </c>
      <c r="H158" s="5" t="s">
        <v>51</v>
      </c>
      <c r="I158" s="13">
        <v>0</v>
      </c>
      <c r="J158" s="5" t="s">
        <v>51</v>
      </c>
      <c r="K158" s="13">
        <v>0</v>
      </c>
      <c r="L158" s="5" t="s">
        <v>51</v>
      </c>
      <c r="M158" s="13">
        <v>0</v>
      </c>
      <c r="N158" s="5" t="s">
        <v>51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5" t="s">
        <v>1852</v>
      </c>
      <c r="X158" s="5" t="s">
        <v>51</v>
      </c>
      <c r="Y158" s="1" t="s">
        <v>51</v>
      </c>
      <c r="Z158" s="1" t="s">
        <v>51</v>
      </c>
      <c r="AA158" s="14"/>
      <c r="AB158" s="1" t="s">
        <v>51</v>
      </c>
    </row>
    <row r="159" spans="1:28" ht="30" customHeight="1" x14ac:dyDescent="0.3">
      <c r="A159" s="5" t="s">
        <v>1046</v>
      </c>
      <c r="B159" s="5" t="s">
        <v>1044</v>
      </c>
      <c r="C159" s="5" t="s">
        <v>51</v>
      </c>
      <c r="D159" s="12" t="s">
        <v>211</v>
      </c>
      <c r="E159" s="13">
        <v>0</v>
      </c>
      <c r="F159" s="5" t="s">
        <v>51</v>
      </c>
      <c r="G159" s="13">
        <v>0</v>
      </c>
      <c r="H159" s="5" t="s">
        <v>51</v>
      </c>
      <c r="I159" s="13">
        <v>0</v>
      </c>
      <c r="J159" s="5" t="s">
        <v>51</v>
      </c>
      <c r="K159" s="13">
        <v>0</v>
      </c>
      <c r="L159" s="5" t="s">
        <v>51</v>
      </c>
      <c r="M159" s="13">
        <v>0</v>
      </c>
      <c r="N159" s="5" t="s">
        <v>51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5" t="s">
        <v>1853</v>
      </c>
      <c r="X159" s="5" t="s">
        <v>51</v>
      </c>
      <c r="Y159" s="1" t="s">
        <v>51</v>
      </c>
      <c r="Z159" s="1" t="s">
        <v>51</v>
      </c>
      <c r="AA159" s="14"/>
      <c r="AB159" s="1" t="s">
        <v>51</v>
      </c>
    </row>
    <row r="160" spans="1:28" ht="30" customHeight="1" x14ac:dyDescent="0.3">
      <c r="A160" s="20" t="s">
        <v>2279</v>
      </c>
      <c r="B160" s="20" t="s">
        <v>2280</v>
      </c>
      <c r="C160" s="20" t="s">
        <v>2286</v>
      </c>
      <c r="D160" s="24" t="s">
        <v>58</v>
      </c>
      <c r="E160" s="25">
        <v>0</v>
      </c>
      <c r="F160" s="20" t="s">
        <v>51</v>
      </c>
      <c r="G160" s="25">
        <v>0</v>
      </c>
      <c r="H160" s="20" t="s">
        <v>51</v>
      </c>
      <c r="I160" s="25">
        <v>0</v>
      </c>
      <c r="J160" s="20" t="s">
        <v>51</v>
      </c>
      <c r="K160" s="25">
        <v>0</v>
      </c>
      <c r="L160" s="20" t="s">
        <v>51</v>
      </c>
      <c r="M160" s="25">
        <v>119000</v>
      </c>
      <c r="N160" s="20" t="s">
        <v>2282</v>
      </c>
      <c r="O160" s="25">
        <v>119000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0" t="s">
        <v>2287</v>
      </c>
      <c r="X160" s="20" t="s">
        <v>51</v>
      </c>
      <c r="Y160" s="1" t="s">
        <v>51</v>
      </c>
      <c r="Z160" s="1" t="s">
        <v>51</v>
      </c>
      <c r="AA160" s="14"/>
      <c r="AB160" s="1" t="s">
        <v>51</v>
      </c>
    </row>
    <row r="161" spans="1:28" ht="30" customHeight="1" x14ac:dyDescent="0.3">
      <c r="A161" s="20" t="s">
        <v>2283</v>
      </c>
      <c r="B161" s="20" t="s">
        <v>2284</v>
      </c>
      <c r="C161" s="20" t="s">
        <v>2286</v>
      </c>
      <c r="D161" s="24" t="s">
        <v>58</v>
      </c>
      <c r="E161" s="25">
        <v>0</v>
      </c>
      <c r="F161" s="20" t="s">
        <v>51</v>
      </c>
      <c r="G161" s="25">
        <v>0</v>
      </c>
      <c r="H161" s="20" t="s">
        <v>51</v>
      </c>
      <c r="I161" s="25">
        <v>0</v>
      </c>
      <c r="J161" s="20" t="s">
        <v>51</v>
      </c>
      <c r="K161" s="25">
        <v>0</v>
      </c>
      <c r="L161" s="20" t="s">
        <v>51</v>
      </c>
      <c r="M161" s="25">
        <v>584000</v>
      </c>
      <c r="N161" s="20" t="s">
        <v>2285</v>
      </c>
      <c r="O161" s="25">
        <v>584000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0" t="s">
        <v>2288</v>
      </c>
      <c r="X161" s="20" t="s">
        <v>51</v>
      </c>
      <c r="Y161" s="1" t="s">
        <v>51</v>
      </c>
      <c r="Z161" s="1" t="s">
        <v>51</v>
      </c>
      <c r="AA161" s="14"/>
      <c r="AB161" s="1" t="s">
        <v>51</v>
      </c>
    </row>
    <row r="162" spans="1:28" ht="30" customHeight="1" x14ac:dyDescent="0.3">
      <c r="A162" s="5" t="s">
        <v>753</v>
      </c>
      <c r="B162" s="5" t="s">
        <v>750</v>
      </c>
      <c r="C162" s="5" t="s">
        <v>751</v>
      </c>
      <c r="D162" s="12" t="s">
        <v>752</v>
      </c>
      <c r="E162" s="13">
        <v>0</v>
      </c>
      <c r="F162" s="5" t="s">
        <v>51</v>
      </c>
      <c r="G162" s="13">
        <v>0</v>
      </c>
      <c r="H162" s="5" t="s">
        <v>51</v>
      </c>
      <c r="I162" s="13">
        <v>0</v>
      </c>
      <c r="J162" s="5" t="s">
        <v>51</v>
      </c>
      <c r="K162" s="13">
        <v>0</v>
      </c>
      <c r="L162" s="5" t="s">
        <v>51</v>
      </c>
      <c r="M162" s="13">
        <v>0</v>
      </c>
      <c r="N162" s="5" t="s">
        <v>51</v>
      </c>
      <c r="O162" s="13">
        <v>0</v>
      </c>
      <c r="P162" s="13">
        <v>172068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5" t="s">
        <v>1854</v>
      </c>
      <c r="X162" s="5" t="s">
        <v>51</v>
      </c>
      <c r="Y162" s="1" t="s">
        <v>1855</v>
      </c>
      <c r="Z162" s="1" t="s">
        <v>51</v>
      </c>
      <c r="AA162" s="14"/>
      <c r="AB162" s="1" t="s">
        <v>51</v>
      </c>
    </row>
    <row r="163" spans="1:28" ht="30" customHeight="1" x14ac:dyDescent="0.3">
      <c r="A163" s="5" t="s">
        <v>875</v>
      </c>
      <c r="B163" s="5" t="s">
        <v>874</v>
      </c>
      <c r="C163" s="5" t="s">
        <v>751</v>
      </c>
      <c r="D163" s="12" t="s">
        <v>752</v>
      </c>
      <c r="E163" s="13">
        <v>0</v>
      </c>
      <c r="F163" s="5" t="s">
        <v>51</v>
      </c>
      <c r="G163" s="13">
        <v>0</v>
      </c>
      <c r="H163" s="5" t="s">
        <v>51</v>
      </c>
      <c r="I163" s="13">
        <v>0</v>
      </c>
      <c r="J163" s="5" t="s">
        <v>51</v>
      </c>
      <c r="K163" s="13">
        <v>0</v>
      </c>
      <c r="L163" s="5" t="s">
        <v>51</v>
      </c>
      <c r="M163" s="13">
        <v>0</v>
      </c>
      <c r="N163" s="5" t="s">
        <v>51</v>
      </c>
      <c r="O163" s="13">
        <v>0</v>
      </c>
      <c r="P163" s="13">
        <v>226122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5" t="s">
        <v>1856</v>
      </c>
      <c r="X163" s="5" t="s">
        <v>51</v>
      </c>
      <c r="Y163" s="1" t="s">
        <v>1855</v>
      </c>
      <c r="Z163" s="1" t="s">
        <v>51</v>
      </c>
      <c r="AA163" s="14"/>
      <c r="AB163" s="1" t="s">
        <v>51</v>
      </c>
    </row>
    <row r="164" spans="1:28" ht="30" customHeight="1" x14ac:dyDescent="0.3">
      <c r="A164" s="5" t="s">
        <v>872</v>
      </c>
      <c r="B164" s="5" t="s">
        <v>871</v>
      </c>
      <c r="C164" s="5" t="s">
        <v>751</v>
      </c>
      <c r="D164" s="12" t="s">
        <v>752</v>
      </c>
      <c r="E164" s="13">
        <v>0</v>
      </c>
      <c r="F164" s="5" t="s">
        <v>51</v>
      </c>
      <c r="G164" s="13">
        <v>0</v>
      </c>
      <c r="H164" s="5" t="s">
        <v>51</v>
      </c>
      <c r="I164" s="13">
        <v>0</v>
      </c>
      <c r="J164" s="5" t="s">
        <v>51</v>
      </c>
      <c r="K164" s="13">
        <v>0</v>
      </c>
      <c r="L164" s="5" t="s">
        <v>51</v>
      </c>
      <c r="M164" s="13">
        <v>0</v>
      </c>
      <c r="N164" s="5" t="s">
        <v>51</v>
      </c>
      <c r="O164" s="13">
        <v>0</v>
      </c>
      <c r="P164" s="13">
        <v>239808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5" t="s">
        <v>1857</v>
      </c>
      <c r="X164" s="5" t="s">
        <v>51</v>
      </c>
      <c r="Y164" s="1" t="s">
        <v>1855</v>
      </c>
      <c r="Z164" s="1" t="s">
        <v>51</v>
      </c>
      <c r="AA164" s="14"/>
      <c r="AB164" s="1" t="s">
        <v>51</v>
      </c>
    </row>
    <row r="165" spans="1:28" ht="30" customHeight="1" x14ac:dyDescent="0.3">
      <c r="A165" s="5" t="s">
        <v>1557</v>
      </c>
      <c r="B165" s="5" t="s">
        <v>1556</v>
      </c>
      <c r="C165" s="5" t="s">
        <v>751</v>
      </c>
      <c r="D165" s="12" t="s">
        <v>752</v>
      </c>
      <c r="E165" s="13">
        <v>0</v>
      </c>
      <c r="F165" s="5" t="s">
        <v>51</v>
      </c>
      <c r="G165" s="13">
        <v>0</v>
      </c>
      <c r="H165" s="5" t="s">
        <v>51</v>
      </c>
      <c r="I165" s="13">
        <v>0</v>
      </c>
      <c r="J165" s="5" t="s">
        <v>51</v>
      </c>
      <c r="K165" s="13">
        <v>0</v>
      </c>
      <c r="L165" s="5" t="s">
        <v>51</v>
      </c>
      <c r="M165" s="13">
        <v>0</v>
      </c>
      <c r="N165" s="5" t="s">
        <v>51</v>
      </c>
      <c r="O165" s="13">
        <v>0</v>
      </c>
      <c r="P165" s="13">
        <v>273540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5" t="s">
        <v>1858</v>
      </c>
      <c r="X165" s="5" t="s">
        <v>51</v>
      </c>
      <c r="Y165" s="1" t="s">
        <v>1855</v>
      </c>
      <c r="Z165" s="1" t="s">
        <v>51</v>
      </c>
      <c r="AA165" s="14"/>
      <c r="AB165" s="1" t="s">
        <v>51</v>
      </c>
    </row>
    <row r="166" spans="1:28" ht="30" customHeight="1" x14ac:dyDescent="0.3">
      <c r="A166" s="5" t="s">
        <v>869</v>
      </c>
      <c r="B166" s="5" t="s">
        <v>868</v>
      </c>
      <c r="C166" s="5" t="s">
        <v>751</v>
      </c>
      <c r="D166" s="12" t="s">
        <v>752</v>
      </c>
      <c r="E166" s="13">
        <v>0</v>
      </c>
      <c r="F166" s="5" t="s">
        <v>51</v>
      </c>
      <c r="G166" s="13">
        <v>0</v>
      </c>
      <c r="H166" s="5" t="s">
        <v>51</v>
      </c>
      <c r="I166" s="13">
        <v>0</v>
      </c>
      <c r="J166" s="5" t="s">
        <v>51</v>
      </c>
      <c r="K166" s="13">
        <v>0</v>
      </c>
      <c r="L166" s="5" t="s">
        <v>51</v>
      </c>
      <c r="M166" s="13">
        <v>0</v>
      </c>
      <c r="N166" s="5" t="s">
        <v>51</v>
      </c>
      <c r="O166" s="13">
        <v>0</v>
      </c>
      <c r="P166" s="13">
        <v>211653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5" t="s">
        <v>1859</v>
      </c>
      <c r="X166" s="5" t="s">
        <v>51</v>
      </c>
      <c r="Y166" s="1" t="s">
        <v>1855</v>
      </c>
      <c r="Z166" s="1" t="s">
        <v>51</v>
      </c>
      <c r="AA166" s="14"/>
      <c r="AB166" s="1" t="s">
        <v>51</v>
      </c>
    </row>
    <row r="167" spans="1:28" ht="30" customHeight="1" x14ac:dyDescent="0.3">
      <c r="A167" s="5" t="s">
        <v>1512</v>
      </c>
      <c r="B167" s="5" t="s">
        <v>1510</v>
      </c>
      <c r="C167" s="5" t="s">
        <v>751</v>
      </c>
      <c r="D167" s="12" t="s">
        <v>752</v>
      </c>
      <c r="E167" s="13">
        <v>0</v>
      </c>
      <c r="F167" s="5" t="s">
        <v>51</v>
      </c>
      <c r="G167" s="13">
        <v>0</v>
      </c>
      <c r="H167" s="5" t="s">
        <v>51</v>
      </c>
      <c r="I167" s="13">
        <v>0</v>
      </c>
      <c r="J167" s="5" t="s">
        <v>51</v>
      </c>
      <c r="K167" s="13">
        <v>0</v>
      </c>
      <c r="L167" s="5" t="s">
        <v>51</v>
      </c>
      <c r="M167" s="13">
        <v>0</v>
      </c>
      <c r="N167" s="5" t="s">
        <v>51</v>
      </c>
      <c r="O167" s="13">
        <v>0</v>
      </c>
      <c r="P167" s="13">
        <v>283297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5" t="s">
        <v>1860</v>
      </c>
      <c r="X167" s="5" t="s">
        <v>51</v>
      </c>
      <c r="Y167" s="1" t="s">
        <v>1855</v>
      </c>
      <c r="Z167" s="1" t="s">
        <v>51</v>
      </c>
      <c r="AA167" s="14"/>
      <c r="AB167" s="1" t="s">
        <v>51</v>
      </c>
    </row>
    <row r="168" spans="1:28" ht="30" customHeight="1" x14ac:dyDescent="0.3">
      <c r="A168" s="5" t="s">
        <v>1542</v>
      </c>
      <c r="B168" s="5" t="s">
        <v>1541</v>
      </c>
      <c r="C168" s="5" t="s">
        <v>751</v>
      </c>
      <c r="D168" s="12" t="s">
        <v>752</v>
      </c>
      <c r="E168" s="13">
        <v>0</v>
      </c>
      <c r="F168" s="5" t="s">
        <v>51</v>
      </c>
      <c r="G168" s="13">
        <v>0</v>
      </c>
      <c r="H168" s="5" t="s">
        <v>51</v>
      </c>
      <c r="I168" s="13">
        <v>0</v>
      </c>
      <c r="J168" s="5" t="s">
        <v>51</v>
      </c>
      <c r="K168" s="13">
        <v>0</v>
      </c>
      <c r="L168" s="5" t="s">
        <v>51</v>
      </c>
      <c r="M168" s="13">
        <v>0</v>
      </c>
      <c r="N168" s="5" t="s">
        <v>51</v>
      </c>
      <c r="O168" s="13">
        <v>0</v>
      </c>
      <c r="P168" s="13">
        <v>173995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5" t="s">
        <v>1861</v>
      </c>
      <c r="X168" s="5" t="s">
        <v>51</v>
      </c>
      <c r="Y168" s="1" t="s">
        <v>1855</v>
      </c>
      <c r="Z168" s="1" t="s">
        <v>51</v>
      </c>
      <c r="AA168" s="14"/>
      <c r="AB168" s="1" t="s">
        <v>51</v>
      </c>
    </row>
    <row r="169" spans="1:28" ht="30" customHeight="1" x14ac:dyDescent="0.3">
      <c r="A169" s="5" t="s">
        <v>770</v>
      </c>
      <c r="B169" s="5" t="s">
        <v>769</v>
      </c>
      <c r="C169" s="5" t="s">
        <v>751</v>
      </c>
      <c r="D169" s="12" t="s">
        <v>752</v>
      </c>
      <c r="E169" s="13">
        <v>0</v>
      </c>
      <c r="F169" s="5" t="s">
        <v>51</v>
      </c>
      <c r="G169" s="13">
        <v>0</v>
      </c>
      <c r="H169" s="5" t="s">
        <v>51</v>
      </c>
      <c r="I169" s="13">
        <v>0</v>
      </c>
      <c r="J169" s="5" t="s">
        <v>51</v>
      </c>
      <c r="K169" s="13">
        <v>0</v>
      </c>
      <c r="L169" s="5" t="s">
        <v>51</v>
      </c>
      <c r="M169" s="13">
        <v>0</v>
      </c>
      <c r="N169" s="5" t="s">
        <v>51</v>
      </c>
      <c r="O169" s="13">
        <v>0</v>
      </c>
      <c r="P169" s="13">
        <v>273676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5" t="s">
        <v>1862</v>
      </c>
      <c r="X169" s="5" t="s">
        <v>51</v>
      </c>
      <c r="Y169" s="1" t="s">
        <v>1855</v>
      </c>
      <c r="Z169" s="1" t="s">
        <v>51</v>
      </c>
      <c r="AA169" s="14"/>
      <c r="AB169" s="1" t="s">
        <v>51</v>
      </c>
    </row>
    <row r="170" spans="1:28" ht="30" customHeight="1" x14ac:dyDescent="0.3">
      <c r="A170" s="5" t="s">
        <v>809</v>
      </c>
      <c r="B170" s="5" t="s">
        <v>808</v>
      </c>
      <c r="C170" s="5" t="s">
        <v>751</v>
      </c>
      <c r="D170" s="12" t="s">
        <v>752</v>
      </c>
      <c r="E170" s="13">
        <v>0</v>
      </c>
      <c r="F170" s="5" t="s">
        <v>51</v>
      </c>
      <c r="G170" s="13">
        <v>0</v>
      </c>
      <c r="H170" s="5" t="s">
        <v>51</v>
      </c>
      <c r="I170" s="13">
        <v>0</v>
      </c>
      <c r="J170" s="5" t="s">
        <v>51</v>
      </c>
      <c r="K170" s="13">
        <v>0</v>
      </c>
      <c r="L170" s="5" t="s">
        <v>51</v>
      </c>
      <c r="M170" s="13">
        <v>0</v>
      </c>
      <c r="N170" s="5" t="s">
        <v>51</v>
      </c>
      <c r="O170" s="13">
        <v>0</v>
      </c>
      <c r="P170" s="13">
        <v>440616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5" t="s">
        <v>1863</v>
      </c>
      <c r="X170" s="5" t="s">
        <v>51</v>
      </c>
      <c r="Y170" s="1" t="s">
        <v>1855</v>
      </c>
      <c r="Z170" s="1" t="s">
        <v>51</v>
      </c>
      <c r="AA170" s="14"/>
      <c r="AB170" s="1" t="s">
        <v>51</v>
      </c>
    </row>
    <row r="171" spans="1:28" ht="30" customHeight="1" x14ac:dyDescent="0.3">
      <c r="A171" s="5" t="s">
        <v>866</v>
      </c>
      <c r="B171" s="5" t="s">
        <v>865</v>
      </c>
      <c r="C171" s="5" t="s">
        <v>751</v>
      </c>
      <c r="D171" s="12" t="s">
        <v>752</v>
      </c>
      <c r="E171" s="13">
        <v>0</v>
      </c>
      <c r="F171" s="5" t="s">
        <v>51</v>
      </c>
      <c r="G171" s="13">
        <v>0</v>
      </c>
      <c r="H171" s="5" t="s">
        <v>51</v>
      </c>
      <c r="I171" s="13">
        <v>0</v>
      </c>
      <c r="J171" s="5" t="s">
        <v>51</v>
      </c>
      <c r="K171" s="13">
        <v>0</v>
      </c>
      <c r="L171" s="5" t="s">
        <v>51</v>
      </c>
      <c r="M171" s="13">
        <v>0</v>
      </c>
      <c r="N171" s="5" t="s">
        <v>51</v>
      </c>
      <c r="O171" s="13">
        <v>0</v>
      </c>
      <c r="P171" s="13">
        <v>304156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5" t="s">
        <v>1864</v>
      </c>
      <c r="X171" s="5" t="s">
        <v>51</v>
      </c>
      <c r="Y171" s="1" t="s">
        <v>1855</v>
      </c>
      <c r="Z171" s="1" t="s">
        <v>51</v>
      </c>
      <c r="AA171" s="14"/>
      <c r="AB171" s="1" t="s">
        <v>51</v>
      </c>
    </row>
    <row r="172" spans="1:28" ht="30" customHeight="1" x14ac:dyDescent="0.3">
      <c r="A172" s="5" t="s">
        <v>756</v>
      </c>
      <c r="B172" s="5" t="s">
        <v>755</v>
      </c>
      <c r="C172" s="5" t="s">
        <v>751</v>
      </c>
      <c r="D172" s="12" t="s">
        <v>752</v>
      </c>
      <c r="E172" s="13">
        <v>0</v>
      </c>
      <c r="F172" s="5" t="s">
        <v>51</v>
      </c>
      <c r="G172" s="13">
        <v>0</v>
      </c>
      <c r="H172" s="5" t="s">
        <v>51</v>
      </c>
      <c r="I172" s="13">
        <v>0</v>
      </c>
      <c r="J172" s="5" t="s">
        <v>51</v>
      </c>
      <c r="K172" s="13">
        <v>0</v>
      </c>
      <c r="L172" s="5" t="s">
        <v>51</v>
      </c>
      <c r="M172" s="13">
        <v>0</v>
      </c>
      <c r="N172" s="5" t="s">
        <v>51</v>
      </c>
      <c r="O172" s="13">
        <v>0</v>
      </c>
      <c r="P172" s="13">
        <v>414968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5" t="s">
        <v>1865</v>
      </c>
      <c r="X172" s="5" t="s">
        <v>51</v>
      </c>
      <c r="Y172" s="1" t="s">
        <v>1855</v>
      </c>
      <c r="Z172" s="1" t="s">
        <v>51</v>
      </c>
      <c r="AA172" s="14"/>
      <c r="AB172" s="1" t="s">
        <v>51</v>
      </c>
    </row>
    <row r="173" spans="1:28" ht="30" customHeight="1" x14ac:dyDescent="0.3">
      <c r="A173" s="5" t="s">
        <v>879</v>
      </c>
      <c r="B173" s="5" t="s">
        <v>877</v>
      </c>
      <c r="C173" s="5" t="s">
        <v>878</v>
      </c>
      <c r="D173" s="12" t="s">
        <v>752</v>
      </c>
      <c r="E173" s="13">
        <v>0</v>
      </c>
      <c r="F173" s="5" t="s">
        <v>51</v>
      </c>
      <c r="G173" s="13">
        <v>0</v>
      </c>
      <c r="H173" s="5" t="s">
        <v>51</v>
      </c>
      <c r="I173" s="13">
        <v>0</v>
      </c>
      <c r="J173" s="5" t="s">
        <v>51</v>
      </c>
      <c r="K173" s="13">
        <v>0</v>
      </c>
      <c r="L173" s="5" t="s">
        <v>51</v>
      </c>
      <c r="M173" s="13">
        <v>0</v>
      </c>
      <c r="N173" s="5" t="s">
        <v>51</v>
      </c>
      <c r="O173" s="13">
        <v>0</v>
      </c>
      <c r="P173" s="13">
        <v>485075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5" t="s">
        <v>1866</v>
      </c>
      <c r="X173" s="5" t="s">
        <v>51</v>
      </c>
      <c r="Y173" s="1" t="s">
        <v>1855</v>
      </c>
      <c r="Z173" s="1" t="s">
        <v>51</v>
      </c>
      <c r="AA173" s="14"/>
      <c r="AB173" s="1" t="s">
        <v>51</v>
      </c>
    </row>
    <row r="174" spans="1:28" ht="30" customHeight="1" x14ac:dyDescent="0.3">
      <c r="A174" s="5" t="s">
        <v>707</v>
      </c>
      <c r="B174" s="5" t="s">
        <v>706</v>
      </c>
      <c r="C174" s="5" t="s">
        <v>2294</v>
      </c>
      <c r="D174" s="12" t="s">
        <v>631</v>
      </c>
      <c r="E174" s="13">
        <v>0</v>
      </c>
      <c r="F174" s="5" t="s">
        <v>51</v>
      </c>
      <c r="G174" s="13">
        <v>0</v>
      </c>
      <c r="H174" s="5" t="s">
        <v>51</v>
      </c>
      <c r="I174" s="13">
        <v>0</v>
      </c>
      <c r="J174" s="5" t="s">
        <v>51</v>
      </c>
      <c r="K174" s="13">
        <v>0</v>
      </c>
      <c r="L174" s="5" t="s">
        <v>51</v>
      </c>
      <c r="M174" s="13">
        <v>1191520</v>
      </c>
      <c r="N174" s="5" t="s">
        <v>51</v>
      </c>
      <c r="O174" s="13">
        <v>1191520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5" t="s">
        <v>1867</v>
      </c>
      <c r="X174" s="5" t="s">
        <v>51</v>
      </c>
      <c r="Y174" s="1" t="s">
        <v>51</v>
      </c>
      <c r="Z174" s="1" t="s">
        <v>51</v>
      </c>
      <c r="AA174" s="14"/>
      <c r="AB174" s="1" t="s">
        <v>51</v>
      </c>
    </row>
    <row r="175" spans="1:28" ht="30" customHeight="1" x14ac:dyDescent="0.3">
      <c r="A175" s="5" t="s">
        <v>711</v>
      </c>
      <c r="B175" s="5" t="s">
        <v>709</v>
      </c>
      <c r="C175" s="5" t="s">
        <v>51</v>
      </c>
      <c r="D175" s="12" t="s">
        <v>631</v>
      </c>
      <c r="E175" s="13">
        <v>0</v>
      </c>
      <c r="F175" s="5" t="s">
        <v>51</v>
      </c>
      <c r="G175" s="13">
        <v>0</v>
      </c>
      <c r="H175" s="5" t="s">
        <v>51</v>
      </c>
      <c r="I175" s="13">
        <v>0</v>
      </c>
      <c r="J175" s="5" t="s">
        <v>51</v>
      </c>
      <c r="K175" s="13">
        <v>0</v>
      </c>
      <c r="L175" s="5" t="s">
        <v>51</v>
      </c>
      <c r="M175" s="13">
        <v>2640000</v>
      </c>
      <c r="N175" s="5" t="s">
        <v>51</v>
      </c>
      <c r="O175" s="13">
        <v>2640000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5" t="s">
        <v>2288</v>
      </c>
      <c r="X175" s="5" t="s">
        <v>51</v>
      </c>
      <c r="Y175" s="1" t="s">
        <v>51</v>
      </c>
      <c r="Z175" s="1" t="s">
        <v>51</v>
      </c>
      <c r="AA175" s="14"/>
      <c r="AB175" s="1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A3DF-CA16-4EAF-A2B6-39F3643885FB}">
  <dimension ref="A1:D206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731</v>
      </c>
      <c r="B1" t="s">
        <v>1868</v>
      </c>
      <c r="C1" t="s">
        <v>1869</v>
      </c>
      <c r="D1" t="s">
        <v>1870</v>
      </c>
    </row>
    <row r="2" spans="1:4" x14ac:dyDescent="0.3">
      <c r="A2" s="1" t="s">
        <v>1871</v>
      </c>
      <c r="B2">
        <v>100</v>
      </c>
      <c r="D2" s="1" t="s">
        <v>67</v>
      </c>
    </row>
    <row r="3" spans="1:4" x14ac:dyDescent="0.3">
      <c r="A3" t="s">
        <v>1872</v>
      </c>
      <c r="C3">
        <v>3</v>
      </c>
      <c r="D3" s="1" t="s">
        <v>754</v>
      </c>
    </row>
    <row r="4" spans="1:4" x14ac:dyDescent="0.3">
      <c r="A4" t="s">
        <v>1873</v>
      </c>
      <c r="C4">
        <v>3</v>
      </c>
      <c r="D4" s="1" t="s">
        <v>757</v>
      </c>
    </row>
    <row r="5" spans="1:4" x14ac:dyDescent="0.3">
      <c r="A5" s="1" t="s">
        <v>1874</v>
      </c>
      <c r="B5">
        <v>100</v>
      </c>
      <c r="D5" s="1" t="s">
        <v>72</v>
      </c>
    </row>
    <row r="6" spans="1:4" x14ac:dyDescent="0.3">
      <c r="A6" t="s">
        <v>1875</v>
      </c>
      <c r="C6">
        <v>4</v>
      </c>
      <c r="D6" s="1" t="s">
        <v>771</v>
      </c>
    </row>
    <row r="7" spans="1:4" x14ac:dyDescent="0.3">
      <c r="A7" s="1" t="s">
        <v>1876</v>
      </c>
      <c r="B7">
        <v>100</v>
      </c>
      <c r="D7" s="1" t="s">
        <v>90</v>
      </c>
    </row>
    <row r="8" spans="1:4" x14ac:dyDescent="0.3">
      <c r="A8" t="s">
        <v>1872</v>
      </c>
      <c r="C8">
        <v>2</v>
      </c>
      <c r="D8" s="1" t="s">
        <v>779</v>
      </c>
    </row>
    <row r="9" spans="1:4" x14ac:dyDescent="0.3">
      <c r="A9" t="s">
        <v>1873</v>
      </c>
      <c r="C9">
        <v>2</v>
      </c>
      <c r="D9" s="1" t="s">
        <v>780</v>
      </c>
    </row>
    <row r="10" spans="1:4" x14ac:dyDescent="0.3">
      <c r="A10" s="1" t="s">
        <v>1877</v>
      </c>
      <c r="B10">
        <v>100</v>
      </c>
      <c r="D10" s="1" t="s">
        <v>94</v>
      </c>
    </row>
    <row r="11" spans="1:4" x14ac:dyDescent="0.3">
      <c r="A11" t="s">
        <v>1872</v>
      </c>
      <c r="C11">
        <v>3</v>
      </c>
      <c r="D11" s="1" t="s">
        <v>788</v>
      </c>
    </row>
    <row r="12" spans="1:4" x14ac:dyDescent="0.3">
      <c r="A12" t="s">
        <v>1873</v>
      </c>
      <c r="C12">
        <v>3</v>
      </c>
      <c r="D12" s="1" t="s">
        <v>789</v>
      </c>
    </row>
    <row r="13" spans="1:4" x14ac:dyDescent="0.3">
      <c r="A13" s="1" t="s">
        <v>1878</v>
      </c>
      <c r="B13">
        <v>100</v>
      </c>
      <c r="D13" s="1" t="s">
        <v>99</v>
      </c>
    </row>
    <row r="14" spans="1:4" x14ac:dyDescent="0.3">
      <c r="A14" t="s">
        <v>1872</v>
      </c>
      <c r="C14">
        <v>4</v>
      </c>
      <c r="D14" s="1" t="s">
        <v>807</v>
      </c>
    </row>
    <row r="15" spans="1:4" x14ac:dyDescent="0.3">
      <c r="A15" t="s">
        <v>1879</v>
      </c>
      <c r="C15">
        <v>4</v>
      </c>
      <c r="D15" s="1" t="s">
        <v>810</v>
      </c>
    </row>
    <row r="16" spans="1:4" x14ac:dyDescent="0.3">
      <c r="A16" s="1" t="s">
        <v>1880</v>
      </c>
      <c r="B16">
        <v>100</v>
      </c>
      <c r="D16" s="1" t="s">
        <v>104</v>
      </c>
    </row>
    <row r="17" spans="1:4" x14ac:dyDescent="0.3">
      <c r="A17" t="s">
        <v>1875</v>
      </c>
      <c r="C17">
        <v>3</v>
      </c>
      <c r="D17" s="1" t="s">
        <v>863</v>
      </c>
    </row>
    <row r="18" spans="1:4" x14ac:dyDescent="0.3">
      <c r="A18" t="s">
        <v>1872</v>
      </c>
      <c r="C18">
        <v>2</v>
      </c>
      <c r="D18" s="1" t="s">
        <v>864</v>
      </c>
    </row>
    <row r="19" spans="1:4" x14ac:dyDescent="0.3">
      <c r="A19" t="s">
        <v>1881</v>
      </c>
      <c r="C19">
        <v>2</v>
      </c>
      <c r="D19" s="1" t="s">
        <v>867</v>
      </c>
    </row>
    <row r="20" spans="1:4" x14ac:dyDescent="0.3">
      <c r="A20" t="s">
        <v>1882</v>
      </c>
      <c r="C20">
        <v>2</v>
      </c>
      <c r="D20" s="1" t="s">
        <v>870</v>
      </c>
    </row>
    <row r="21" spans="1:4" x14ac:dyDescent="0.3">
      <c r="A21" t="s">
        <v>1883</v>
      </c>
      <c r="C21">
        <v>2</v>
      </c>
      <c r="D21" s="1" t="s">
        <v>873</v>
      </c>
    </row>
    <row r="22" spans="1:4" x14ac:dyDescent="0.3">
      <c r="A22" t="s">
        <v>1884</v>
      </c>
      <c r="C22">
        <v>2</v>
      </c>
      <c r="D22" s="1" t="s">
        <v>876</v>
      </c>
    </row>
    <row r="23" spans="1:4" x14ac:dyDescent="0.3">
      <c r="A23" t="s">
        <v>1885</v>
      </c>
      <c r="C23">
        <v>4</v>
      </c>
      <c r="D23" s="1" t="s">
        <v>880</v>
      </c>
    </row>
    <row r="24" spans="1:4" x14ac:dyDescent="0.3">
      <c r="A24" s="1" t="s">
        <v>1886</v>
      </c>
      <c r="B24">
        <v>100</v>
      </c>
      <c r="D24" s="1" t="s">
        <v>109</v>
      </c>
    </row>
    <row r="25" spans="1:4" x14ac:dyDescent="0.3">
      <c r="A25" t="s">
        <v>1879</v>
      </c>
      <c r="C25">
        <v>4</v>
      </c>
      <c r="D25" s="1" t="s">
        <v>886</v>
      </c>
    </row>
    <row r="26" spans="1:4" x14ac:dyDescent="0.3">
      <c r="A26" t="s">
        <v>1872</v>
      </c>
      <c r="C26">
        <v>4</v>
      </c>
      <c r="D26" s="1" t="s">
        <v>887</v>
      </c>
    </row>
    <row r="27" spans="1:4" x14ac:dyDescent="0.3">
      <c r="A27" s="1" t="s">
        <v>1887</v>
      </c>
      <c r="B27">
        <v>100</v>
      </c>
      <c r="D27" s="1" t="s">
        <v>115</v>
      </c>
    </row>
    <row r="28" spans="1:4" x14ac:dyDescent="0.3">
      <c r="A28" t="s">
        <v>1879</v>
      </c>
      <c r="C28">
        <v>2</v>
      </c>
      <c r="D28" s="1" t="s">
        <v>893</v>
      </c>
    </row>
    <row r="29" spans="1:4" x14ac:dyDescent="0.3">
      <c r="A29" s="1" t="s">
        <v>1888</v>
      </c>
      <c r="B29">
        <v>100</v>
      </c>
      <c r="D29" s="1" t="s">
        <v>120</v>
      </c>
    </row>
    <row r="30" spans="1:4" x14ac:dyDescent="0.3">
      <c r="A30" t="s">
        <v>1875</v>
      </c>
      <c r="C30">
        <v>2</v>
      </c>
      <c r="D30" s="1" t="s">
        <v>897</v>
      </c>
    </row>
    <row r="31" spans="1:4" x14ac:dyDescent="0.3">
      <c r="A31" t="s">
        <v>1872</v>
      </c>
      <c r="C31">
        <v>2</v>
      </c>
      <c r="D31" s="1" t="s">
        <v>898</v>
      </c>
    </row>
    <row r="32" spans="1:4" x14ac:dyDescent="0.3">
      <c r="A32" s="1" t="s">
        <v>1889</v>
      </c>
      <c r="B32">
        <v>100</v>
      </c>
      <c r="D32" s="1" t="s">
        <v>141</v>
      </c>
    </row>
    <row r="33" spans="1:4" x14ac:dyDescent="0.3">
      <c r="A33" t="s">
        <v>1872</v>
      </c>
      <c r="C33">
        <v>1</v>
      </c>
      <c r="D33" s="1" t="s">
        <v>906</v>
      </c>
    </row>
    <row r="34" spans="1:4" x14ac:dyDescent="0.3">
      <c r="A34" s="1" t="s">
        <v>1890</v>
      </c>
      <c r="B34">
        <v>100</v>
      </c>
      <c r="D34" s="1" t="s">
        <v>145</v>
      </c>
    </row>
    <row r="35" spans="1:4" x14ac:dyDescent="0.3">
      <c r="A35" t="s">
        <v>1875</v>
      </c>
      <c r="C35">
        <v>3</v>
      </c>
      <c r="D35" s="1" t="s">
        <v>924</v>
      </c>
    </row>
    <row r="36" spans="1:4" x14ac:dyDescent="0.3">
      <c r="A36" t="s">
        <v>1872</v>
      </c>
      <c r="C36">
        <v>2</v>
      </c>
      <c r="D36" s="1" t="s">
        <v>925</v>
      </c>
    </row>
    <row r="37" spans="1:4" x14ac:dyDescent="0.3">
      <c r="A37" t="s">
        <v>1881</v>
      </c>
      <c r="C37">
        <v>2</v>
      </c>
      <c r="D37" s="1" t="s">
        <v>926</v>
      </c>
    </row>
    <row r="38" spans="1:4" x14ac:dyDescent="0.3">
      <c r="A38" t="s">
        <v>1882</v>
      </c>
      <c r="C38">
        <v>2</v>
      </c>
      <c r="D38" s="1" t="s">
        <v>927</v>
      </c>
    </row>
    <row r="39" spans="1:4" x14ac:dyDescent="0.3">
      <c r="A39" t="s">
        <v>1883</v>
      </c>
      <c r="C39">
        <v>2</v>
      </c>
      <c r="D39" s="1" t="s">
        <v>928</v>
      </c>
    </row>
    <row r="40" spans="1:4" x14ac:dyDescent="0.3">
      <c r="A40" t="s">
        <v>1884</v>
      </c>
      <c r="C40">
        <v>2</v>
      </c>
      <c r="D40" s="1" t="s">
        <v>929</v>
      </c>
    </row>
    <row r="41" spans="1:4" x14ac:dyDescent="0.3">
      <c r="A41" t="s">
        <v>1885</v>
      </c>
      <c r="C41">
        <v>4</v>
      </c>
      <c r="D41" s="1" t="s">
        <v>930</v>
      </c>
    </row>
    <row r="42" spans="1:4" x14ac:dyDescent="0.3">
      <c r="A42" s="1" t="s">
        <v>1891</v>
      </c>
      <c r="B42">
        <v>100</v>
      </c>
      <c r="D42" s="1" t="s">
        <v>150</v>
      </c>
    </row>
    <row r="43" spans="1:4" x14ac:dyDescent="0.3">
      <c r="A43" t="s">
        <v>1875</v>
      </c>
      <c r="C43">
        <v>3</v>
      </c>
      <c r="D43" s="1" t="s">
        <v>937</v>
      </c>
    </row>
    <row r="44" spans="1:4" x14ac:dyDescent="0.3">
      <c r="A44" s="1" t="s">
        <v>1892</v>
      </c>
      <c r="B44">
        <v>100</v>
      </c>
      <c r="D44" s="1" t="s">
        <v>154</v>
      </c>
    </row>
    <row r="45" spans="1:4" x14ac:dyDescent="0.3">
      <c r="A45" t="s">
        <v>1875</v>
      </c>
      <c r="C45">
        <v>3</v>
      </c>
      <c r="D45" s="1" t="s">
        <v>945</v>
      </c>
    </row>
    <row r="46" spans="1:4" x14ac:dyDescent="0.3">
      <c r="A46" s="1" t="s">
        <v>1893</v>
      </c>
      <c r="B46">
        <v>100</v>
      </c>
      <c r="D46" s="1" t="s">
        <v>158</v>
      </c>
    </row>
    <row r="47" spans="1:4" x14ac:dyDescent="0.3">
      <c r="A47" t="s">
        <v>1872</v>
      </c>
      <c r="C47">
        <v>3</v>
      </c>
      <c r="D47" s="1" t="s">
        <v>952</v>
      </c>
    </row>
    <row r="48" spans="1:4" x14ac:dyDescent="0.3">
      <c r="A48" t="s">
        <v>1873</v>
      </c>
      <c r="C48">
        <v>3</v>
      </c>
      <c r="D48" s="1" t="s">
        <v>953</v>
      </c>
    </row>
    <row r="49" spans="1:4" x14ac:dyDescent="0.3">
      <c r="A49" s="1" t="s">
        <v>1894</v>
      </c>
      <c r="B49">
        <v>100</v>
      </c>
      <c r="D49" s="1" t="s">
        <v>163</v>
      </c>
    </row>
    <row r="50" spans="1:4" x14ac:dyDescent="0.3">
      <c r="A50" t="s">
        <v>1875</v>
      </c>
      <c r="C50">
        <v>2</v>
      </c>
      <c r="D50" s="1" t="s">
        <v>959</v>
      </c>
    </row>
    <row r="51" spans="1:4" x14ac:dyDescent="0.3">
      <c r="A51" s="1" t="s">
        <v>1895</v>
      </c>
      <c r="B51">
        <v>100</v>
      </c>
      <c r="D51" s="1" t="s">
        <v>168</v>
      </c>
    </row>
    <row r="52" spans="1:4" x14ac:dyDescent="0.3">
      <c r="A52" t="s">
        <v>1879</v>
      </c>
      <c r="C52">
        <v>4</v>
      </c>
      <c r="D52" s="1" t="s">
        <v>972</v>
      </c>
    </row>
    <row r="53" spans="1:4" x14ac:dyDescent="0.3">
      <c r="A53" t="s">
        <v>1872</v>
      </c>
      <c r="C53">
        <v>4</v>
      </c>
      <c r="D53" s="1" t="s">
        <v>973</v>
      </c>
    </row>
    <row r="54" spans="1:4" x14ac:dyDescent="0.3">
      <c r="A54" s="1" t="s">
        <v>1896</v>
      </c>
      <c r="B54">
        <v>100</v>
      </c>
      <c r="D54" s="1" t="s">
        <v>172</v>
      </c>
    </row>
    <row r="55" spans="1:4" x14ac:dyDescent="0.3">
      <c r="A55" t="s">
        <v>1881</v>
      </c>
      <c r="C55">
        <v>3</v>
      </c>
      <c r="D55" s="1" t="s">
        <v>980</v>
      </c>
    </row>
    <row r="56" spans="1:4" x14ac:dyDescent="0.3">
      <c r="A56" s="1" t="s">
        <v>1897</v>
      </c>
      <c r="B56">
        <v>100</v>
      </c>
      <c r="D56" s="1" t="s">
        <v>177</v>
      </c>
    </row>
    <row r="57" spans="1:4" x14ac:dyDescent="0.3">
      <c r="A57" t="s">
        <v>1881</v>
      </c>
      <c r="C57">
        <v>3</v>
      </c>
      <c r="D57" s="1" t="s">
        <v>986</v>
      </c>
    </row>
    <row r="58" spans="1:4" x14ac:dyDescent="0.3">
      <c r="A58" s="1" t="s">
        <v>1898</v>
      </c>
      <c r="B58">
        <v>100</v>
      </c>
      <c r="D58" s="1" t="s">
        <v>181</v>
      </c>
    </row>
    <row r="59" spans="1:4" x14ac:dyDescent="0.3">
      <c r="A59" t="s">
        <v>1881</v>
      </c>
      <c r="C59">
        <v>3</v>
      </c>
      <c r="D59" s="1" t="s">
        <v>993</v>
      </c>
    </row>
    <row r="60" spans="1:4" x14ac:dyDescent="0.3">
      <c r="A60" s="1" t="s">
        <v>1899</v>
      </c>
      <c r="B60">
        <v>100</v>
      </c>
      <c r="D60" s="1" t="s">
        <v>186</v>
      </c>
    </row>
    <row r="61" spans="1:4" x14ac:dyDescent="0.3">
      <c r="A61" t="s">
        <v>1881</v>
      </c>
      <c r="C61">
        <v>3</v>
      </c>
      <c r="D61" s="1" t="s">
        <v>1000</v>
      </c>
    </row>
    <row r="62" spans="1:4" x14ac:dyDescent="0.3">
      <c r="A62" s="1" t="s">
        <v>1900</v>
      </c>
      <c r="B62">
        <v>100</v>
      </c>
      <c r="D62" s="1" t="s">
        <v>190</v>
      </c>
    </row>
    <row r="63" spans="1:4" x14ac:dyDescent="0.3">
      <c r="A63" t="s">
        <v>1875</v>
      </c>
      <c r="C63">
        <v>4</v>
      </c>
      <c r="D63" s="1" t="s">
        <v>1008</v>
      </c>
    </row>
    <row r="64" spans="1:4" x14ac:dyDescent="0.3">
      <c r="A64" s="1" t="s">
        <v>1901</v>
      </c>
      <c r="B64">
        <v>100</v>
      </c>
      <c r="D64" s="1" t="s">
        <v>194</v>
      </c>
    </row>
    <row r="65" spans="1:4" x14ac:dyDescent="0.3">
      <c r="A65" t="s">
        <v>1875</v>
      </c>
      <c r="C65">
        <v>4</v>
      </c>
      <c r="D65" s="1" t="s">
        <v>1014</v>
      </c>
    </row>
    <row r="66" spans="1:4" x14ac:dyDescent="0.3">
      <c r="A66" s="1" t="s">
        <v>1902</v>
      </c>
      <c r="B66">
        <v>100</v>
      </c>
      <c r="D66" s="1" t="s">
        <v>198</v>
      </c>
    </row>
    <row r="67" spans="1:4" x14ac:dyDescent="0.3">
      <c r="A67" t="s">
        <v>1875</v>
      </c>
      <c r="C67">
        <v>4</v>
      </c>
      <c r="D67" s="1" t="s">
        <v>1019</v>
      </c>
    </row>
    <row r="68" spans="1:4" x14ac:dyDescent="0.3">
      <c r="A68" s="1" t="s">
        <v>1903</v>
      </c>
      <c r="B68">
        <v>100</v>
      </c>
      <c r="D68" s="1" t="s">
        <v>202</v>
      </c>
    </row>
    <row r="69" spans="1:4" x14ac:dyDescent="0.3">
      <c r="A69" t="s">
        <v>1875</v>
      </c>
      <c r="C69">
        <v>3</v>
      </c>
      <c r="D69" s="1" t="s">
        <v>1026</v>
      </c>
    </row>
    <row r="70" spans="1:4" x14ac:dyDescent="0.3">
      <c r="A70" s="1" t="s">
        <v>1904</v>
      </c>
      <c r="B70">
        <v>100</v>
      </c>
      <c r="D70" s="1" t="s">
        <v>206</v>
      </c>
    </row>
    <row r="71" spans="1:4" x14ac:dyDescent="0.3">
      <c r="A71" t="s">
        <v>1875</v>
      </c>
      <c r="C71">
        <v>3</v>
      </c>
      <c r="D71" s="1" t="s">
        <v>1034</v>
      </c>
    </row>
    <row r="72" spans="1:4" x14ac:dyDescent="0.3">
      <c r="A72" s="1" t="s">
        <v>1905</v>
      </c>
      <c r="B72">
        <v>100</v>
      </c>
      <c r="D72" s="1" t="s">
        <v>213</v>
      </c>
    </row>
    <row r="73" spans="1:4" x14ac:dyDescent="0.3">
      <c r="A73" t="s">
        <v>1875</v>
      </c>
      <c r="C73">
        <v>4</v>
      </c>
      <c r="D73" s="1" t="s">
        <v>1041</v>
      </c>
    </row>
    <row r="74" spans="1:4" x14ac:dyDescent="0.3">
      <c r="A74" s="1" t="s">
        <v>1906</v>
      </c>
      <c r="B74">
        <v>100</v>
      </c>
      <c r="D74" s="1" t="s">
        <v>217</v>
      </c>
    </row>
    <row r="75" spans="1:4" x14ac:dyDescent="0.3">
      <c r="A75" t="s">
        <v>1875</v>
      </c>
      <c r="C75">
        <v>4</v>
      </c>
      <c r="D75" s="1" t="s">
        <v>1048</v>
      </c>
    </row>
    <row r="76" spans="1:4" x14ac:dyDescent="0.3">
      <c r="A76" s="1" t="s">
        <v>1907</v>
      </c>
      <c r="B76">
        <v>100</v>
      </c>
      <c r="D76" s="1" t="s">
        <v>228</v>
      </c>
    </row>
    <row r="77" spans="1:4" x14ac:dyDescent="0.3">
      <c r="A77" t="s">
        <v>1875</v>
      </c>
      <c r="C77">
        <v>4</v>
      </c>
      <c r="D77" s="1" t="s">
        <v>1055</v>
      </c>
    </row>
    <row r="78" spans="1:4" x14ac:dyDescent="0.3">
      <c r="A78" s="1" t="s">
        <v>1908</v>
      </c>
      <c r="B78">
        <v>100</v>
      </c>
      <c r="D78" s="1" t="s">
        <v>232</v>
      </c>
    </row>
    <row r="79" spans="1:4" x14ac:dyDescent="0.3">
      <c r="A79" t="s">
        <v>1875</v>
      </c>
      <c r="C79">
        <v>4</v>
      </c>
      <c r="D79" s="1" t="s">
        <v>1062</v>
      </c>
    </row>
    <row r="80" spans="1:4" x14ac:dyDescent="0.3">
      <c r="A80" s="1" t="s">
        <v>1909</v>
      </c>
      <c r="B80">
        <v>100</v>
      </c>
      <c r="D80" s="1" t="s">
        <v>236</v>
      </c>
    </row>
    <row r="81" spans="1:4" x14ac:dyDescent="0.3">
      <c r="A81" t="s">
        <v>1875</v>
      </c>
      <c r="C81">
        <v>4</v>
      </c>
      <c r="D81" s="1" t="s">
        <v>1069</v>
      </c>
    </row>
    <row r="82" spans="1:4" x14ac:dyDescent="0.3">
      <c r="A82" s="1" t="s">
        <v>1910</v>
      </c>
      <c r="B82">
        <v>100</v>
      </c>
      <c r="D82" s="1" t="s">
        <v>240</v>
      </c>
    </row>
    <row r="83" spans="1:4" x14ac:dyDescent="0.3">
      <c r="A83" t="s">
        <v>1875</v>
      </c>
      <c r="C83">
        <v>4</v>
      </c>
      <c r="D83" s="1" t="s">
        <v>1076</v>
      </c>
    </row>
    <row r="84" spans="1:4" x14ac:dyDescent="0.3">
      <c r="A84" s="1" t="s">
        <v>1911</v>
      </c>
      <c r="B84">
        <v>100</v>
      </c>
      <c r="D84" s="1" t="s">
        <v>245</v>
      </c>
    </row>
    <row r="85" spans="1:4" x14ac:dyDescent="0.3">
      <c r="A85" t="s">
        <v>1875</v>
      </c>
      <c r="C85">
        <v>3</v>
      </c>
      <c r="D85" s="1" t="s">
        <v>1084</v>
      </c>
    </row>
    <row r="86" spans="1:4" x14ac:dyDescent="0.3">
      <c r="A86" s="1" t="s">
        <v>1912</v>
      </c>
      <c r="B86">
        <v>100</v>
      </c>
      <c r="D86" s="1" t="s">
        <v>249</v>
      </c>
    </row>
    <row r="87" spans="1:4" x14ac:dyDescent="0.3">
      <c r="A87" t="s">
        <v>1875</v>
      </c>
      <c r="C87">
        <v>3</v>
      </c>
      <c r="D87" s="1" t="s">
        <v>1092</v>
      </c>
    </row>
    <row r="88" spans="1:4" x14ac:dyDescent="0.3">
      <c r="A88" s="1" t="s">
        <v>1913</v>
      </c>
      <c r="B88">
        <v>100</v>
      </c>
      <c r="D88" s="1" t="s">
        <v>254</v>
      </c>
    </row>
    <row r="89" spans="1:4" x14ac:dyDescent="0.3">
      <c r="A89" t="s">
        <v>1875</v>
      </c>
      <c r="C89">
        <v>3</v>
      </c>
      <c r="D89" s="1" t="s">
        <v>1115</v>
      </c>
    </row>
    <row r="90" spans="1:4" x14ac:dyDescent="0.3">
      <c r="A90" s="1" t="s">
        <v>1914</v>
      </c>
      <c r="B90">
        <v>100</v>
      </c>
      <c r="D90" s="1" t="s">
        <v>258</v>
      </c>
    </row>
    <row r="91" spans="1:4" x14ac:dyDescent="0.3">
      <c r="A91" t="s">
        <v>1875</v>
      </c>
      <c r="C91">
        <v>3</v>
      </c>
      <c r="D91" s="1" t="s">
        <v>1125</v>
      </c>
    </row>
    <row r="92" spans="1:4" x14ac:dyDescent="0.3">
      <c r="A92" s="1" t="s">
        <v>1915</v>
      </c>
      <c r="B92">
        <v>100</v>
      </c>
      <c r="D92" s="1" t="s">
        <v>262</v>
      </c>
    </row>
    <row r="93" spans="1:4" x14ac:dyDescent="0.3">
      <c r="A93" t="s">
        <v>1881</v>
      </c>
      <c r="C93">
        <v>3</v>
      </c>
      <c r="D93" s="1" t="s">
        <v>1132</v>
      </c>
    </row>
    <row r="94" spans="1:4" x14ac:dyDescent="0.3">
      <c r="A94" s="1" t="s">
        <v>1916</v>
      </c>
      <c r="B94">
        <v>100</v>
      </c>
      <c r="D94" s="1" t="s">
        <v>266</v>
      </c>
    </row>
    <row r="95" spans="1:4" x14ac:dyDescent="0.3">
      <c r="A95" t="s">
        <v>1881</v>
      </c>
      <c r="C95">
        <v>3</v>
      </c>
      <c r="D95" s="1" t="s">
        <v>1140</v>
      </c>
    </row>
    <row r="96" spans="1:4" x14ac:dyDescent="0.3">
      <c r="A96" s="1" t="s">
        <v>1917</v>
      </c>
      <c r="B96">
        <v>100</v>
      </c>
      <c r="D96" s="1" t="s">
        <v>270</v>
      </c>
    </row>
    <row r="97" spans="1:4" x14ac:dyDescent="0.3">
      <c r="A97" t="s">
        <v>1881</v>
      </c>
      <c r="C97">
        <v>3</v>
      </c>
      <c r="D97" s="1" t="s">
        <v>1146</v>
      </c>
    </row>
    <row r="98" spans="1:4" x14ac:dyDescent="0.3">
      <c r="A98" s="1" t="s">
        <v>1918</v>
      </c>
      <c r="B98">
        <v>100</v>
      </c>
      <c r="D98" s="1" t="s">
        <v>274</v>
      </c>
    </row>
    <row r="99" spans="1:4" x14ac:dyDescent="0.3">
      <c r="A99" t="s">
        <v>1881</v>
      </c>
      <c r="C99">
        <v>4</v>
      </c>
      <c r="D99" s="1" t="s">
        <v>1152</v>
      </c>
    </row>
    <row r="100" spans="1:4" x14ac:dyDescent="0.3">
      <c r="A100" s="1" t="s">
        <v>1919</v>
      </c>
      <c r="B100">
        <v>100</v>
      </c>
      <c r="D100" s="1" t="s">
        <v>287</v>
      </c>
    </row>
    <row r="101" spans="1:4" x14ac:dyDescent="0.3">
      <c r="A101" t="s">
        <v>1875</v>
      </c>
      <c r="C101">
        <v>3</v>
      </c>
      <c r="D101" s="1" t="s">
        <v>1162</v>
      </c>
    </row>
    <row r="102" spans="1:4" x14ac:dyDescent="0.3">
      <c r="A102" s="1" t="s">
        <v>1920</v>
      </c>
      <c r="B102">
        <v>100</v>
      </c>
      <c r="D102" s="1" t="s">
        <v>292</v>
      </c>
    </row>
    <row r="103" spans="1:4" x14ac:dyDescent="0.3">
      <c r="A103" t="s">
        <v>1875</v>
      </c>
      <c r="C103">
        <v>3</v>
      </c>
      <c r="D103" s="1" t="s">
        <v>1168</v>
      </c>
    </row>
    <row r="104" spans="1:4" x14ac:dyDescent="0.3">
      <c r="A104" s="1" t="s">
        <v>1921</v>
      </c>
      <c r="B104">
        <v>100</v>
      </c>
      <c r="D104" s="1" t="s">
        <v>297</v>
      </c>
    </row>
    <row r="105" spans="1:4" x14ac:dyDescent="0.3">
      <c r="A105" t="s">
        <v>1875</v>
      </c>
      <c r="C105">
        <v>3</v>
      </c>
      <c r="D105" s="1" t="s">
        <v>1175</v>
      </c>
    </row>
    <row r="106" spans="1:4" x14ac:dyDescent="0.3">
      <c r="A106" s="1" t="s">
        <v>1922</v>
      </c>
      <c r="B106">
        <v>100</v>
      </c>
      <c r="D106" s="1" t="s">
        <v>302</v>
      </c>
    </row>
    <row r="107" spans="1:4" x14ac:dyDescent="0.3">
      <c r="A107" t="s">
        <v>1875</v>
      </c>
      <c r="C107">
        <v>4</v>
      </c>
      <c r="D107" s="1" t="s">
        <v>1183</v>
      </c>
    </row>
    <row r="108" spans="1:4" x14ac:dyDescent="0.3">
      <c r="A108" s="1" t="s">
        <v>1923</v>
      </c>
      <c r="B108">
        <v>100</v>
      </c>
      <c r="D108" s="1" t="s">
        <v>306</v>
      </c>
    </row>
    <row r="109" spans="1:4" x14ac:dyDescent="0.3">
      <c r="A109" t="s">
        <v>1875</v>
      </c>
      <c r="C109">
        <v>3</v>
      </c>
      <c r="D109" s="1" t="s">
        <v>1188</v>
      </c>
    </row>
    <row r="110" spans="1:4" x14ac:dyDescent="0.3">
      <c r="A110" s="1" t="s">
        <v>1924</v>
      </c>
      <c r="B110">
        <v>100</v>
      </c>
      <c r="D110" s="1" t="s">
        <v>311</v>
      </c>
    </row>
    <row r="111" spans="1:4" x14ac:dyDescent="0.3">
      <c r="A111" t="s">
        <v>1875</v>
      </c>
      <c r="C111">
        <v>3</v>
      </c>
      <c r="D111" s="1" t="s">
        <v>1194</v>
      </c>
    </row>
    <row r="112" spans="1:4" x14ac:dyDescent="0.3">
      <c r="A112" s="1" t="s">
        <v>1925</v>
      </c>
      <c r="B112">
        <v>100</v>
      </c>
      <c r="D112" s="1" t="s">
        <v>315</v>
      </c>
    </row>
    <row r="113" spans="1:4" x14ac:dyDescent="0.3">
      <c r="A113" t="s">
        <v>1875</v>
      </c>
      <c r="C113">
        <v>3</v>
      </c>
      <c r="D113" s="1" t="s">
        <v>1200</v>
      </c>
    </row>
    <row r="114" spans="1:4" x14ac:dyDescent="0.3">
      <c r="A114" s="1" t="s">
        <v>1926</v>
      </c>
      <c r="B114">
        <v>100</v>
      </c>
      <c r="D114" s="1" t="s">
        <v>319</v>
      </c>
    </row>
    <row r="115" spans="1:4" x14ac:dyDescent="0.3">
      <c r="A115" t="s">
        <v>1875</v>
      </c>
      <c r="C115">
        <v>3</v>
      </c>
      <c r="D115" s="1" t="s">
        <v>1207</v>
      </c>
    </row>
    <row r="116" spans="1:4" x14ac:dyDescent="0.3">
      <c r="A116" s="1" t="s">
        <v>1927</v>
      </c>
      <c r="B116">
        <v>100</v>
      </c>
      <c r="D116" s="1" t="s">
        <v>327</v>
      </c>
    </row>
    <row r="117" spans="1:4" x14ac:dyDescent="0.3">
      <c r="A117" t="s">
        <v>1875</v>
      </c>
      <c r="C117">
        <v>2</v>
      </c>
      <c r="D117" s="1" t="s">
        <v>1213</v>
      </c>
    </row>
    <row r="118" spans="1:4" x14ac:dyDescent="0.3">
      <c r="A118" s="1" t="s">
        <v>1928</v>
      </c>
      <c r="B118">
        <v>100</v>
      </c>
      <c r="D118" s="1" t="s">
        <v>341</v>
      </c>
    </row>
    <row r="119" spans="1:4" x14ac:dyDescent="0.3">
      <c r="A119" t="s">
        <v>1875</v>
      </c>
      <c r="C119">
        <v>3</v>
      </c>
      <c r="D119" s="1" t="s">
        <v>1219</v>
      </c>
    </row>
    <row r="120" spans="1:4" x14ac:dyDescent="0.3">
      <c r="A120" s="1" t="s">
        <v>1929</v>
      </c>
      <c r="B120">
        <v>100</v>
      </c>
      <c r="D120" s="1" t="s">
        <v>360</v>
      </c>
    </row>
    <row r="121" spans="1:4" x14ac:dyDescent="0.3">
      <c r="A121" t="s">
        <v>1875</v>
      </c>
      <c r="C121">
        <v>4</v>
      </c>
      <c r="D121" s="1" t="s">
        <v>1227</v>
      </c>
    </row>
    <row r="122" spans="1:4" x14ac:dyDescent="0.3">
      <c r="A122" s="1" t="s">
        <v>1930</v>
      </c>
      <c r="B122">
        <v>100</v>
      </c>
      <c r="D122" s="1" t="s">
        <v>365</v>
      </c>
    </row>
    <row r="123" spans="1:4" x14ac:dyDescent="0.3">
      <c r="A123" t="s">
        <v>1875</v>
      </c>
      <c r="C123">
        <v>2</v>
      </c>
      <c r="D123" s="1" t="s">
        <v>1236</v>
      </c>
    </row>
    <row r="124" spans="1:4" x14ac:dyDescent="0.3">
      <c r="A124" s="1" t="s">
        <v>1931</v>
      </c>
      <c r="B124">
        <v>100</v>
      </c>
      <c r="D124" s="1" t="s">
        <v>370</v>
      </c>
    </row>
    <row r="125" spans="1:4" x14ac:dyDescent="0.3">
      <c r="A125" t="s">
        <v>1875</v>
      </c>
      <c r="C125">
        <v>3</v>
      </c>
      <c r="D125" s="1" t="s">
        <v>1242</v>
      </c>
    </row>
    <row r="126" spans="1:4" x14ac:dyDescent="0.3">
      <c r="A126" s="1" t="s">
        <v>1932</v>
      </c>
      <c r="B126">
        <v>100</v>
      </c>
      <c r="D126" s="1" t="s">
        <v>374</v>
      </c>
    </row>
    <row r="127" spans="1:4" x14ac:dyDescent="0.3">
      <c r="A127" t="s">
        <v>1875</v>
      </c>
      <c r="C127">
        <v>3</v>
      </c>
      <c r="D127" s="1" t="s">
        <v>1247</v>
      </c>
    </row>
    <row r="128" spans="1:4" x14ac:dyDescent="0.3">
      <c r="A128" s="1" t="s">
        <v>1933</v>
      </c>
      <c r="B128">
        <v>100</v>
      </c>
      <c r="D128" s="1" t="s">
        <v>379</v>
      </c>
    </row>
    <row r="129" spans="1:4" x14ac:dyDescent="0.3">
      <c r="A129" t="s">
        <v>1875</v>
      </c>
      <c r="C129">
        <v>4</v>
      </c>
      <c r="D129" s="1" t="s">
        <v>1252</v>
      </c>
    </row>
    <row r="130" spans="1:4" x14ac:dyDescent="0.3">
      <c r="A130" s="1" t="s">
        <v>1934</v>
      </c>
      <c r="B130">
        <v>100</v>
      </c>
      <c r="D130" s="1" t="s">
        <v>383</v>
      </c>
    </row>
    <row r="131" spans="1:4" x14ac:dyDescent="0.3">
      <c r="A131" t="s">
        <v>1875</v>
      </c>
      <c r="C131">
        <v>4</v>
      </c>
      <c r="D131" s="1" t="s">
        <v>1257</v>
      </c>
    </row>
    <row r="132" spans="1:4" x14ac:dyDescent="0.3">
      <c r="A132" s="1" t="s">
        <v>1935</v>
      </c>
      <c r="B132">
        <v>100</v>
      </c>
      <c r="D132" s="1" t="s">
        <v>388</v>
      </c>
    </row>
    <row r="133" spans="1:4" x14ac:dyDescent="0.3">
      <c r="A133" t="s">
        <v>1875</v>
      </c>
      <c r="C133">
        <v>3</v>
      </c>
      <c r="D133" s="1" t="s">
        <v>1263</v>
      </c>
    </row>
    <row r="134" spans="1:4" x14ac:dyDescent="0.3">
      <c r="A134" s="1" t="s">
        <v>1936</v>
      </c>
      <c r="B134">
        <v>100</v>
      </c>
      <c r="D134" s="1" t="s">
        <v>393</v>
      </c>
    </row>
    <row r="135" spans="1:4" x14ac:dyDescent="0.3">
      <c r="A135" t="s">
        <v>1875</v>
      </c>
      <c r="C135">
        <v>3</v>
      </c>
      <c r="D135" s="1" t="s">
        <v>1268</v>
      </c>
    </row>
    <row r="136" spans="1:4" x14ac:dyDescent="0.3">
      <c r="A136" s="1" t="s">
        <v>1937</v>
      </c>
      <c r="B136">
        <v>100</v>
      </c>
      <c r="D136" s="1" t="s">
        <v>398</v>
      </c>
    </row>
    <row r="137" spans="1:4" x14ac:dyDescent="0.3">
      <c r="A137" t="s">
        <v>1875</v>
      </c>
      <c r="C137">
        <v>3</v>
      </c>
      <c r="D137" s="1" t="s">
        <v>1273</v>
      </c>
    </row>
    <row r="138" spans="1:4" x14ac:dyDescent="0.3">
      <c r="A138" s="1" t="s">
        <v>1938</v>
      </c>
      <c r="B138">
        <v>100</v>
      </c>
      <c r="D138" s="1" t="s">
        <v>403</v>
      </c>
    </row>
    <row r="139" spans="1:4" x14ac:dyDescent="0.3">
      <c r="A139" t="s">
        <v>1875</v>
      </c>
      <c r="C139">
        <v>3</v>
      </c>
      <c r="D139" s="1" t="s">
        <v>1278</v>
      </c>
    </row>
    <row r="140" spans="1:4" x14ac:dyDescent="0.3">
      <c r="A140" s="1" t="s">
        <v>1939</v>
      </c>
      <c r="B140">
        <v>100</v>
      </c>
      <c r="D140" s="1" t="s">
        <v>408</v>
      </c>
    </row>
    <row r="141" spans="1:4" x14ac:dyDescent="0.3">
      <c r="A141" t="s">
        <v>1875</v>
      </c>
      <c r="C141">
        <v>3</v>
      </c>
      <c r="D141" s="1" t="s">
        <v>1283</v>
      </c>
    </row>
    <row r="142" spans="1:4" x14ac:dyDescent="0.3">
      <c r="A142" s="1" t="s">
        <v>1940</v>
      </c>
      <c r="B142">
        <v>100</v>
      </c>
      <c r="D142" s="1" t="s">
        <v>413</v>
      </c>
    </row>
    <row r="143" spans="1:4" x14ac:dyDescent="0.3">
      <c r="A143" t="s">
        <v>1875</v>
      </c>
      <c r="C143">
        <v>3</v>
      </c>
      <c r="D143" s="1" t="s">
        <v>1290</v>
      </c>
    </row>
    <row r="144" spans="1:4" x14ac:dyDescent="0.3">
      <c r="A144" s="1" t="s">
        <v>1941</v>
      </c>
      <c r="B144">
        <v>100</v>
      </c>
      <c r="D144" s="1" t="s">
        <v>417</v>
      </c>
    </row>
    <row r="145" spans="1:4" x14ac:dyDescent="0.3">
      <c r="A145" t="s">
        <v>1875</v>
      </c>
      <c r="C145">
        <v>3</v>
      </c>
      <c r="D145" s="1" t="s">
        <v>1296</v>
      </c>
    </row>
    <row r="146" spans="1:4" x14ac:dyDescent="0.3">
      <c r="A146" s="1" t="s">
        <v>1942</v>
      </c>
      <c r="B146">
        <v>100</v>
      </c>
      <c r="D146" s="1" t="s">
        <v>421</v>
      </c>
    </row>
    <row r="147" spans="1:4" x14ac:dyDescent="0.3">
      <c r="A147" t="s">
        <v>1875</v>
      </c>
      <c r="C147">
        <v>3</v>
      </c>
      <c r="D147" s="1" t="s">
        <v>1302</v>
      </c>
    </row>
    <row r="148" spans="1:4" x14ac:dyDescent="0.3">
      <c r="A148" s="1" t="s">
        <v>1943</v>
      </c>
      <c r="B148">
        <v>100</v>
      </c>
      <c r="D148" s="1" t="s">
        <v>426</v>
      </c>
    </row>
    <row r="149" spans="1:4" x14ac:dyDescent="0.3">
      <c r="A149" t="s">
        <v>1875</v>
      </c>
      <c r="C149">
        <v>3</v>
      </c>
      <c r="D149" s="1" t="s">
        <v>1307</v>
      </c>
    </row>
    <row r="150" spans="1:4" x14ac:dyDescent="0.3">
      <c r="A150" s="1" t="s">
        <v>1944</v>
      </c>
      <c r="B150">
        <v>100</v>
      </c>
      <c r="D150" s="1" t="s">
        <v>430</v>
      </c>
    </row>
    <row r="151" spans="1:4" x14ac:dyDescent="0.3">
      <c r="A151" t="s">
        <v>1875</v>
      </c>
      <c r="C151">
        <v>3</v>
      </c>
      <c r="D151" s="1" t="s">
        <v>1313</v>
      </c>
    </row>
    <row r="152" spans="1:4" x14ac:dyDescent="0.3">
      <c r="A152" s="1" t="s">
        <v>1945</v>
      </c>
      <c r="B152">
        <v>100</v>
      </c>
      <c r="D152" s="1" t="s">
        <v>458</v>
      </c>
    </row>
    <row r="153" spans="1:4" x14ac:dyDescent="0.3">
      <c r="A153" t="s">
        <v>1875</v>
      </c>
      <c r="C153">
        <v>4</v>
      </c>
      <c r="D153" s="1" t="s">
        <v>1321</v>
      </c>
    </row>
    <row r="154" spans="1:4" x14ac:dyDescent="0.3">
      <c r="A154" s="1" t="s">
        <v>1946</v>
      </c>
      <c r="B154">
        <v>100</v>
      </c>
      <c r="D154" s="1" t="s">
        <v>468</v>
      </c>
    </row>
    <row r="155" spans="1:4" x14ac:dyDescent="0.3">
      <c r="A155" t="s">
        <v>1875</v>
      </c>
      <c r="C155">
        <v>4</v>
      </c>
      <c r="D155" s="1" t="s">
        <v>1326</v>
      </c>
    </row>
    <row r="156" spans="1:4" x14ac:dyDescent="0.3">
      <c r="A156" s="1" t="s">
        <v>1947</v>
      </c>
      <c r="B156">
        <v>100</v>
      </c>
      <c r="D156" s="1" t="s">
        <v>472</v>
      </c>
    </row>
    <row r="157" spans="1:4" x14ac:dyDescent="0.3">
      <c r="A157" t="s">
        <v>1875</v>
      </c>
      <c r="C157">
        <v>4</v>
      </c>
      <c r="D157" s="1" t="s">
        <v>1331</v>
      </c>
    </row>
    <row r="158" spans="1:4" x14ac:dyDescent="0.3">
      <c r="A158" s="1" t="s">
        <v>1948</v>
      </c>
      <c r="B158">
        <v>100</v>
      </c>
      <c r="D158" s="1" t="s">
        <v>480</v>
      </c>
    </row>
    <row r="159" spans="1:4" x14ac:dyDescent="0.3">
      <c r="A159" t="s">
        <v>1875</v>
      </c>
      <c r="C159">
        <v>3</v>
      </c>
      <c r="D159" s="1" t="s">
        <v>1336</v>
      </c>
    </row>
    <row r="160" spans="1:4" x14ac:dyDescent="0.3">
      <c r="A160" s="1" t="s">
        <v>1949</v>
      </c>
      <c r="B160">
        <v>100</v>
      </c>
      <c r="D160" s="1" t="s">
        <v>489</v>
      </c>
    </row>
    <row r="161" spans="1:4" x14ac:dyDescent="0.3">
      <c r="A161" t="s">
        <v>1872</v>
      </c>
      <c r="C161">
        <v>3</v>
      </c>
      <c r="D161" s="1" t="s">
        <v>1343</v>
      </c>
    </row>
    <row r="162" spans="1:4" x14ac:dyDescent="0.3">
      <c r="A162" t="s">
        <v>1873</v>
      </c>
      <c r="C162">
        <v>3</v>
      </c>
      <c r="D162" s="1" t="s">
        <v>1344</v>
      </c>
    </row>
    <row r="163" spans="1:4" x14ac:dyDescent="0.3">
      <c r="A163" s="1" t="s">
        <v>1950</v>
      </c>
      <c r="B163">
        <v>100</v>
      </c>
      <c r="D163" s="1" t="s">
        <v>493</v>
      </c>
    </row>
    <row r="164" spans="1:4" x14ac:dyDescent="0.3">
      <c r="A164" t="s">
        <v>1875</v>
      </c>
      <c r="C164">
        <v>4</v>
      </c>
      <c r="D164" s="1" t="s">
        <v>1349</v>
      </c>
    </row>
    <row r="165" spans="1:4" x14ac:dyDescent="0.3">
      <c r="A165" s="1" t="s">
        <v>1951</v>
      </c>
      <c r="B165">
        <v>100</v>
      </c>
      <c r="D165" s="1" t="s">
        <v>498</v>
      </c>
    </row>
    <row r="166" spans="1:4" x14ac:dyDescent="0.3">
      <c r="A166" t="s">
        <v>1875</v>
      </c>
      <c r="C166">
        <v>2</v>
      </c>
      <c r="D166" s="1" t="s">
        <v>1355</v>
      </c>
    </row>
    <row r="167" spans="1:4" x14ac:dyDescent="0.3">
      <c r="A167" s="1" t="s">
        <v>1952</v>
      </c>
      <c r="B167">
        <v>100</v>
      </c>
      <c r="D167" s="1" t="s">
        <v>501</v>
      </c>
    </row>
    <row r="168" spans="1:4" x14ac:dyDescent="0.3">
      <c r="A168" t="s">
        <v>1872</v>
      </c>
      <c r="C168">
        <v>3</v>
      </c>
      <c r="D168" s="1" t="s">
        <v>1362</v>
      </c>
    </row>
    <row r="169" spans="1:4" x14ac:dyDescent="0.3">
      <c r="A169" t="s">
        <v>1873</v>
      </c>
      <c r="C169">
        <v>3</v>
      </c>
      <c r="D169" s="1" t="s">
        <v>1363</v>
      </c>
    </row>
    <row r="170" spans="1:4" x14ac:dyDescent="0.3">
      <c r="A170" s="1" t="s">
        <v>1953</v>
      </c>
      <c r="B170">
        <v>100</v>
      </c>
      <c r="D170" s="1" t="s">
        <v>504</v>
      </c>
    </row>
    <row r="171" spans="1:4" x14ac:dyDescent="0.3">
      <c r="A171" t="s">
        <v>1881</v>
      </c>
      <c r="C171">
        <v>3</v>
      </c>
      <c r="D171" s="1" t="s">
        <v>1370</v>
      </c>
    </row>
    <row r="172" spans="1:4" x14ac:dyDescent="0.3">
      <c r="A172" s="1" t="s">
        <v>1954</v>
      </c>
      <c r="B172">
        <v>100</v>
      </c>
      <c r="D172" s="1" t="s">
        <v>507</v>
      </c>
    </row>
    <row r="173" spans="1:4" x14ac:dyDescent="0.3">
      <c r="A173" t="s">
        <v>1875</v>
      </c>
      <c r="C173">
        <v>3</v>
      </c>
      <c r="D173" s="1" t="s">
        <v>1377</v>
      </c>
    </row>
    <row r="174" spans="1:4" x14ac:dyDescent="0.3">
      <c r="A174" s="1" t="s">
        <v>1955</v>
      </c>
      <c r="B174">
        <v>100</v>
      </c>
      <c r="D174" s="1" t="s">
        <v>521</v>
      </c>
    </row>
    <row r="175" spans="1:4" x14ac:dyDescent="0.3">
      <c r="A175" t="s">
        <v>1875</v>
      </c>
      <c r="C175">
        <v>4</v>
      </c>
      <c r="D175" s="1" t="s">
        <v>1385</v>
      </c>
    </row>
    <row r="176" spans="1:4" x14ac:dyDescent="0.3">
      <c r="A176" s="1" t="s">
        <v>1956</v>
      </c>
      <c r="B176">
        <v>100</v>
      </c>
      <c r="D176" s="1" t="s">
        <v>525</v>
      </c>
    </row>
    <row r="177" spans="1:4" x14ac:dyDescent="0.3">
      <c r="A177" t="s">
        <v>1875</v>
      </c>
      <c r="C177">
        <v>4</v>
      </c>
      <c r="D177" s="1" t="s">
        <v>1393</v>
      </c>
    </row>
    <row r="178" spans="1:4" x14ac:dyDescent="0.3">
      <c r="A178" s="1" t="s">
        <v>1957</v>
      </c>
      <c r="B178">
        <v>100</v>
      </c>
      <c r="D178" s="1" t="s">
        <v>533</v>
      </c>
    </row>
    <row r="179" spans="1:4" x14ac:dyDescent="0.3">
      <c r="A179" t="s">
        <v>1881</v>
      </c>
      <c r="C179">
        <v>3</v>
      </c>
      <c r="D179" s="1" t="s">
        <v>1400</v>
      </c>
    </row>
    <row r="180" spans="1:4" x14ac:dyDescent="0.3">
      <c r="A180" s="1" t="s">
        <v>1958</v>
      </c>
      <c r="B180">
        <v>100</v>
      </c>
      <c r="D180" s="1" t="s">
        <v>540</v>
      </c>
    </row>
    <row r="181" spans="1:4" x14ac:dyDescent="0.3">
      <c r="A181" t="s">
        <v>1875</v>
      </c>
      <c r="C181">
        <v>3</v>
      </c>
      <c r="D181" s="1" t="s">
        <v>1407</v>
      </c>
    </row>
    <row r="182" spans="1:4" x14ac:dyDescent="0.3">
      <c r="A182" s="1" t="s">
        <v>1959</v>
      </c>
      <c r="B182">
        <v>100</v>
      </c>
      <c r="D182" s="1" t="s">
        <v>554</v>
      </c>
    </row>
    <row r="183" spans="1:4" x14ac:dyDescent="0.3">
      <c r="A183" t="s">
        <v>1875</v>
      </c>
      <c r="C183">
        <v>2</v>
      </c>
      <c r="D183" s="1" t="s">
        <v>1413</v>
      </c>
    </row>
    <row r="184" spans="1:4" x14ac:dyDescent="0.3">
      <c r="A184" s="1" t="s">
        <v>1960</v>
      </c>
      <c r="B184">
        <v>100</v>
      </c>
      <c r="D184" s="1" t="s">
        <v>559</v>
      </c>
    </row>
    <row r="185" spans="1:4" x14ac:dyDescent="0.3">
      <c r="A185" s="1" t="s">
        <v>1961</v>
      </c>
      <c r="B185">
        <v>100</v>
      </c>
      <c r="D185" s="1" t="s">
        <v>575</v>
      </c>
    </row>
    <row r="186" spans="1:4" x14ac:dyDescent="0.3">
      <c r="A186" t="s">
        <v>1875</v>
      </c>
      <c r="C186">
        <v>3</v>
      </c>
      <c r="D186" s="1" t="s">
        <v>1441</v>
      </c>
    </row>
    <row r="187" spans="1:4" x14ac:dyDescent="0.3">
      <c r="A187" s="1" t="s">
        <v>1962</v>
      </c>
      <c r="B187">
        <v>100</v>
      </c>
      <c r="D187" s="1" t="s">
        <v>580</v>
      </c>
    </row>
    <row r="188" spans="1:4" x14ac:dyDescent="0.3">
      <c r="A188" t="s">
        <v>1875</v>
      </c>
      <c r="C188">
        <v>3</v>
      </c>
      <c r="D188" s="1" t="s">
        <v>1462</v>
      </c>
    </row>
    <row r="189" spans="1:4" x14ac:dyDescent="0.3">
      <c r="A189" s="1" t="s">
        <v>1963</v>
      </c>
      <c r="B189">
        <v>100</v>
      </c>
      <c r="D189" s="1" t="s">
        <v>584</v>
      </c>
    </row>
    <row r="190" spans="1:4" x14ac:dyDescent="0.3">
      <c r="A190" t="s">
        <v>1875</v>
      </c>
      <c r="C190">
        <v>3</v>
      </c>
      <c r="D190" s="1" t="s">
        <v>1469</v>
      </c>
    </row>
    <row r="191" spans="1:4" x14ac:dyDescent="0.3">
      <c r="A191" s="1" t="s">
        <v>1964</v>
      </c>
      <c r="B191">
        <v>100</v>
      </c>
      <c r="D191" s="1" t="s">
        <v>816</v>
      </c>
    </row>
    <row r="192" spans="1:4" x14ac:dyDescent="0.3">
      <c r="A192" s="1" t="s">
        <v>1965</v>
      </c>
      <c r="B192">
        <v>100</v>
      </c>
      <c r="D192" s="1" t="s">
        <v>821</v>
      </c>
    </row>
    <row r="193" spans="1:4" x14ac:dyDescent="0.3">
      <c r="A193" t="s">
        <v>1872</v>
      </c>
      <c r="C193">
        <v>1</v>
      </c>
      <c r="D193" s="1" t="s">
        <v>1477</v>
      </c>
    </row>
    <row r="194" spans="1:4" x14ac:dyDescent="0.3">
      <c r="A194" s="1" t="s">
        <v>1966</v>
      </c>
      <c r="B194">
        <v>100</v>
      </c>
      <c r="D194" s="1" t="s">
        <v>826</v>
      </c>
    </row>
    <row r="195" spans="1:4" x14ac:dyDescent="0.3">
      <c r="A195" t="s">
        <v>1872</v>
      </c>
      <c r="C195">
        <v>1</v>
      </c>
      <c r="D195" s="1" t="s">
        <v>1479</v>
      </c>
    </row>
    <row r="196" spans="1:4" x14ac:dyDescent="0.3">
      <c r="A196" s="1" t="s">
        <v>1967</v>
      </c>
      <c r="B196">
        <v>100</v>
      </c>
      <c r="D196" s="1" t="s">
        <v>831</v>
      </c>
    </row>
    <row r="197" spans="1:4" x14ac:dyDescent="0.3">
      <c r="A197" t="s">
        <v>1872</v>
      </c>
      <c r="C197">
        <v>1</v>
      </c>
      <c r="D197" s="1" t="s">
        <v>1485</v>
      </c>
    </row>
    <row r="198" spans="1:4" x14ac:dyDescent="0.3">
      <c r="A198" s="1" t="s">
        <v>1968</v>
      </c>
      <c r="B198">
        <v>100</v>
      </c>
      <c r="D198" s="1" t="s">
        <v>1490</v>
      </c>
    </row>
    <row r="199" spans="1:4" x14ac:dyDescent="0.3">
      <c r="A199" t="s">
        <v>1969</v>
      </c>
      <c r="C199">
        <v>0</v>
      </c>
      <c r="D199" s="1" t="s">
        <v>1513</v>
      </c>
    </row>
    <row r="200" spans="1:4" x14ac:dyDescent="0.3">
      <c r="A200" s="1" t="s">
        <v>1970</v>
      </c>
      <c r="B200">
        <v>100</v>
      </c>
      <c r="D200" s="1" t="s">
        <v>1515</v>
      </c>
    </row>
    <row r="201" spans="1:4" x14ac:dyDescent="0.3">
      <c r="A201" t="s">
        <v>1969</v>
      </c>
      <c r="C201">
        <v>0</v>
      </c>
      <c r="D201" s="1" t="s">
        <v>1525</v>
      </c>
    </row>
    <row r="202" spans="1:4" x14ac:dyDescent="0.3">
      <c r="A202" s="1" t="s">
        <v>1971</v>
      </c>
      <c r="B202">
        <v>100</v>
      </c>
      <c r="D202" s="1" t="s">
        <v>1527</v>
      </c>
    </row>
    <row r="203" spans="1:4" x14ac:dyDescent="0.3">
      <c r="A203" t="s">
        <v>1972</v>
      </c>
      <c r="C203">
        <v>0</v>
      </c>
      <c r="D203" s="1" t="s">
        <v>1543</v>
      </c>
    </row>
    <row r="204" spans="1:4" x14ac:dyDescent="0.3">
      <c r="A204" s="1" t="s">
        <v>1973</v>
      </c>
      <c r="B204">
        <v>100</v>
      </c>
      <c r="D204" s="1" t="s">
        <v>1428</v>
      </c>
    </row>
    <row r="205" spans="1:4" x14ac:dyDescent="0.3">
      <c r="A205" t="s">
        <v>1872</v>
      </c>
      <c r="C205">
        <v>2</v>
      </c>
      <c r="D205" s="1" t="s">
        <v>1555</v>
      </c>
    </row>
    <row r="206" spans="1:4" x14ac:dyDescent="0.3">
      <c r="A206" t="s">
        <v>1974</v>
      </c>
      <c r="C206">
        <v>2</v>
      </c>
      <c r="D206" s="1" t="s">
        <v>1558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408A2-427B-42BD-849D-2CD522C2C0A8}">
  <dimension ref="A1:M30"/>
  <sheetViews>
    <sheetView workbookViewId="0"/>
  </sheetViews>
  <sheetFormatPr defaultRowHeight="16.5" x14ac:dyDescent="0.3"/>
  <sheetData>
    <row r="1" spans="1:7" x14ac:dyDescent="0.3">
      <c r="A1" t="s">
        <v>2241</v>
      </c>
    </row>
    <row r="2" spans="1:7" x14ac:dyDescent="0.3">
      <c r="A2" s="1" t="s">
        <v>2242</v>
      </c>
      <c r="B2" t="s">
        <v>2243</v>
      </c>
      <c r="C2" s="1" t="s">
        <v>2244</v>
      </c>
    </row>
    <row r="3" spans="1:7" x14ac:dyDescent="0.3">
      <c r="A3" s="1" t="s">
        <v>2245</v>
      </c>
      <c r="B3" t="s">
        <v>2246</v>
      </c>
    </row>
    <row r="4" spans="1:7" x14ac:dyDescent="0.3">
      <c r="A4" s="1" t="s">
        <v>2247</v>
      </c>
      <c r="B4">
        <v>5</v>
      </c>
    </row>
    <row r="5" spans="1:7" x14ac:dyDescent="0.3">
      <c r="A5" s="1" t="s">
        <v>2248</v>
      </c>
      <c r="B5">
        <v>5</v>
      </c>
    </row>
    <row r="6" spans="1:7" x14ac:dyDescent="0.3">
      <c r="A6" s="1" t="s">
        <v>2249</v>
      </c>
      <c r="B6" t="s">
        <v>2250</v>
      </c>
    </row>
    <row r="7" spans="1:7" x14ac:dyDescent="0.3">
      <c r="A7" s="1" t="s">
        <v>2251</v>
      </c>
      <c r="B7" t="s">
        <v>2252</v>
      </c>
      <c r="C7">
        <v>1</v>
      </c>
    </row>
    <row r="8" spans="1:7" x14ac:dyDescent="0.3">
      <c r="A8" s="1" t="s">
        <v>2253</v>
      </c>
      <c r="B8" t="s">
        <v>2252</v>
      </c>
      <c r="C8">
        <v>3</v>
      </c>
    </row>
    <row r="9" spans="1:7" x14ac:dyDescent="0.3">
      <c r="A9" s="1" t="s">
        <v>2254</v>
      </c>
      <c r="B9" t="s">
        <v>1562</v>
      </c>
      <c r="C9" t="s">
        <v>1564</v>
      </c>
      <c r="D9" t="s">
        <v>1565</v>
      </c>
      <c r="E9" t="s">
        <v>1566</v>
      </c>
      <c r="F9" t="s">
        <v>1567</v>
      </c>
      <c r="G9" t="s">
        <v>2255</v>
      </c>
    </row>
    <row r="10" spans="1:7" x14ac:dyDescent="0.3">
      <c r="A10" s="1" t="s">
        <v>2256</v>
      </c>
      <c r="B10">
        <v>1153.3</v>
      </c>
      <c r="C10">
        <v>0</v>
      </c>
      <c r="D10">
        <v>0</v>
      </c>
    </row>
    <row r="11" spans="1:7" x14ac:dyDescent="0.3">
      <c r="A11" s="1" t="s">
        <v>2257</v>
      </c>
      <c r="B11" t="s">
        <v>2258</v>
      </c>
      <c r="C11">
        <v>4</v>
      </c>
    </row>
    <row r="12" spans="1:7" x14ac:dyDescent="0.3">
      <c r="A12" s="1" t="s">
        <v>2259</v>
      </c>
      <c r="B12" t="s">
        <v>2258</v>
      </c>
      <c r="C12">
        <v>4</v>
      </c>
    </row>
    <row r="13" spans="1:7" x14ac:dyDescent="0.3">
      <c r="A13" s="1" t="s">
        <v>2260</v>
      </c>
      <c r="B13" t="s">
        <v>2258</v>
      </c>
      <c r="C13">
        <v>3</v>
      </c>
    </row>
    <row r="14" spans="1:7" x14ac:dyDescent="0.3">
      <c r="A14" s="1" t="s">
        <v>2261</v>
      </c>
      <c r="B14" t="s">
        <v>2252</v>
      </c>
      <c r="C14">
        <v>5</v>
      </c>
    </row>
    <row r="15" spans="1:7" x14ac:dyDescent="0.3">
      <c r="A15" s="1" t="s">
        <v>2262</v>
      </c>
      <c r="B15" t="s">
        <v>1495</v>
      </c>
      <c r="C15" t="s">
        <v>2263</v>
      </c>
      <c r="D15" t="s">
        <v>2263</v>
      </c>
      <c r="E15" t="s">
        <v>2263</v>
      </c>
      <c r="F15">
        <v>1</v>
      </c>
    </row>
    <row r="16" spans="1:7" x14ac:dyDescent="0.3">
      <c r="A16" s="1" t="s">
        <v>2264</v>
      </c>
      <c r="B16">
        <v>0</v>
      </c>
      <c r="C16">
        <v>0</v>
      </c>
    </row>
    <row r="17" spans="1:13" x14ac:dyDescent="0.3">
      <c r="A17" s="1" t="s">
        <v>2265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2266</v>
      </c>
      <c r="B18">
        <v>0</v>
      </c>
      <c r="C18">
        <v>0</v>
      </c>
    </row>
    <row r="19" spans="1:13" x14ac:dyDescent="0.3">
      <c r="A19" s="1" t="s">
        <v>2267</v>
      </c>
    </row>
    <row r="20" spans="1:13" x14ac:dyDescent="0.3">
      <c r="A20" s="1" t="s">
        <v>2268</v>
      </c>
      <c r="B20" s="1" t="s">
        <v>51</v>
      </c>
      <c r="C20">
        <v>1</v>
      </c>
    </row>
    <row r="21" spans="1:13" x14ac:dyDescent="0.3">
      <c r="A21" t="s">
        <v>2269</v>
      </c>
      <c r="B21" t="s">
        <v>2270</v>
      </c>
      <c r="C21" t="s">
        <v>2271</v>
      </c>
    </row>
    <row r="22" spans="1:13" x14ac:dyDescent="0.3">
      <c r="A22">
        <v>1</v>
      </c>
      <c r="B22" s="1" t="s">
        <v>2272</v>
      </c>
      <c r="C22" s="1" t="s">
        <v>2179</v>
      </c>
    </row>
    <row r="23" spans="1:13" x14ac:dyDescent="0.3">
      <c r="A23">
        <v>2</v>
      </c>
      <c r="B23" s="1" t="s">
        <v>2273</v>
      </c>
      <c r="C23" s="1" t="s">
        <v>2274</v>
      </c>
    </row>
    <row r="24" spans="1:13" x14ac:dyDescent="0.3">
      <c r="A24">
        <v>3</v>
      </c>
      <c r="B24" s="1" t="s">
        <v>2230</v>
      </c>
      <c r="C24" s="1" t="s">
        <v>2229</v>
      </c>
    </row>
    <row r="25" spans="1:13" x14ac:dyDescent="0.3">
      <c r="A25">
        <v>4</v>
      </c>
      <c r="B25" s="1" t="s">
        <v>2232</v>
      </c>
      <c r="C25" s="1" t="s">
        <v>2231</v>
      </c>
    </row>
    <row r="26" spans="1:13" x14ac:dyDescent="0.3">
      <c r="A26">
        <v>5</v>
      </c>
      <c r="B26" s="1" t="s">
        <v>2236</v>
      </c>
      <c r="C26" s="1" t="s">
        <v>2235</v>
      </c>
    </row>
    <row r="27" spans="1:13" x14ac:dyDescent="0.3">
      <c r="A27">
        <v>6</v>
      </c>
      <c r="B27" s="1" t="s">
        <v>2238</v>
      </c>
      <c r="C27" s="1" t="s">
        <v>2237</v>
      </c>
    </row>
    <row r="28" spans="1:13" x14ac:dyDescent="0.3">
      <c r="A28">
        <v>7</v>
      </c>
      <c r="B28" s="1" t="s">
        <v>51</v>
      </c>
      <c r="C28" s="1" t="s">
        <v>51</v>
      </c>
    </row>
    <row r="29" spans="1:13" x14ac:dyDescent="0.3">
      <c r="A29">
        <v>8</v>
      </c>
      <c r="B29" s="1" t="s">
        <v>2275</v>
      </c>
      <c r="C29" s="1" t="s">
        <v>51</v>
      </c>
    </row>
    <row r="30" spans="1:13" x14ac:dyDescent="0.3">
      <c r="A30">
        <v>9</v>
      </c>
      <c r="B30" s="1" t="s">
        <v>2275</v>
      </c>
      <c r="C30" s="1" t="s">
        <v>51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D50F5-23B9-4551-B836-BEF7446B8963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13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공량산출근거서</vt:lpstr>
      <vt:lpstr>단가대비표</vt:lpstr>
      <vt:lpstr>공량설정_일위대가</vt:lpstr>
      <vt:lpstr> 공사설정 </vt:lpstr>
      <vt:lpstr>Sheet1</vt:lpstr>
      <vt:lpstr>공량산출근거서!Print_Area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공량산출근거서!Print_Titles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세종 기술단7</dc:creator>
  <cp:lastModifiedBy>COM</cp:lastModifiedBy>
  <dcterms:created xsi:type="dcterms:W3CDTF">2026-01-23T00:46:33Z</dcterms:created>
  <dcterms:modified xsi:type="dcterms:W3CDTF">2026-02-10T01:14:52Z</dcterms:modified>
</cp:coreProperties>
</file>