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업무폴더\03.설계도\SDV\SDV 설계도서 (전기, 통신, 소방)\2.통신\2.내역\"/>
    </mc:Choice>
  </mc:AlternateContent>
  <xr:revisionPtr revIDLastSave="0" documentId="13_ncr:1_{AB588482-A60C-4803-892F-14EB5C63AFC3}" xr6:coauthVersionLast="47" xr6:coauthVersionMax="47" xr10:uidLastSave="{00000000-0000-0000-0000-000000000000}"/>
  <bookViews>
    <workbookView xWindow="28680" yWindow="-150" windowWidth="29040" windowHeight="15720" xr2:uid="{4D71F08A-C561-4133-BAFE-F5B045D77507}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공량산출근거서" sheetId="4" r:id="rId6"/>
    <sheet name="단가대비표" sheetId="5" r:id="rId7"/>
    <sheet name="공량설정_일위대가" sheetId="3" state="hidden" r:id="rId8"/>
    <sheet name=" 공사설정 " sheetId="2" state="hidden" r:id="rId9"/>
    <sheet name="Sheet1" sheetId="1" state="hidden" r:id="rId10"/>
  </sheets>
  <definedNames>
    <definedName name="_xlnm.Print_Area" localSheetId="5">공량산출근거서!$A$1:$P$123</definedName>
    <definedName name="_xlnm.Print_Area" localSheetId="2">공종별내역서!$A$1:$M$147</definedName>
    <definedName name="_xlnm.Print_Area" localSheetId="1">공종별집계표!$A$1:$M$25</definedName>
    <definedName name="_xlnm.Print_Area" localSheetId="6">단가대비표!$A$1:$X$66</definedName>
    <definedName name="_xlnm.Print_Area" localSheetId="4">일위대가!$A$1:$M$270</definedName>
    <definedName name="_xlnm.Print_Area" localSheetId="3">일위대가목록!$A$1:$M$36</definedName>
    <definedName name="_xlnm.Print_Titles" localSheetId="5">공량산출근거서!$1:$3</definedName>
    <definedName name="_xlnm.Print_Titles" localSheetId="2">공종별내역서!$1:$3</definedName>
    <definedName name="_xlnm.Print_Titles" localSheetId="1">공종별집계표!$1:$4</definedName>
    <definedName name="_xlnm.Print_Titles" localSheetId="6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9" l="1"/>
  <c r="J14" i="9" s="1"/>
  <c r="I13" i="9" s="1"/>
  <c r="J13" i="9" s="1"/>
  <c r="G14" i="9"/>
  <c r="H14" i="9" s="1"/>
  <c r="G13" i="9" s="1"/>
  <c r="H13" i="9" s="1"/>
  <c r="I268" i="6"/>
  <c r="G268" i="6"/>
  <c r="I267" i="6"/>
  <c r="G267" i="6"/>
  <c r="E267" i="6"/>
  <c r="G266" i="6"/>
  <c r="E266" i="6"/>
  <c r="I261" i="6"/>
  <c r="G261" i="6"/>
  <c r="E261" i="6"/>
  <c r="K261" i="6" s="1"/>
  <c r="I260" i="6"/>
  <c r="J260" i="6" s="1"/>
  <c r="G260" i="6"/>
  <c r="I255" i="6"/>
  <c r="G255" i="6"/>
  <c r="E255" i="6"/>
  <c r="I254" i="6"/>
  <c r="G254" i="6"/>
  <c r="E254" i="6"/>
  <c r="I253" i="6"/>
  <c r="G253" i="6"/>
  <c r="I248" i="6"/>
  <c r="G248" i="6"/>
  <c r="E248" i="6"/>
  <c r="I246" i="6"/>
  <c r="G246" i="6"/>
  <c r="H246" i="6" s="1"/>
  <c r="I245" i="6"/>
  <c r="G245" i="6"/>
  <c r="I240" i="6"/>
  <c r="G240" i="6"/>
  <c r="E240" i="6"/>
  <c r="I239" i="6"/>
  <c r="G239" i="6"/>
  <c r="I238" i="6"/>
  <c r="G238" i="6"/>
  <c r="E238" i="6"/>
  <c r="F238" i="6" s="1"/>
  <c r="I237" i="6"/>
  <c r="J237" i="6" s="1"/>
  <c r="G237" i="6"/>
  <c r="H237" i="6" s="1"/>
  <c r="E237" i="6"/>
  <c r="F237" i="6" s="1"/>
  <c r="L237" i="6" s="1"/>
  <c r="I236" i="6"/>
  <c r="G236" i="6"/>
  <c r="I235" i="6"/>
  <c r="G235" i="6"/>
  <c r="I234" i="6"/>
  <c r="G234" i="6"/>
  <c r="I229" i="6"/>
  <c r="G229" i="6"/>
  <c r="E229" i="6"/>
  <c r="I228" i="6"/>
  <c r="G228" i="6"/>
  <c r="I223" i="6"/>
  <c r="G223" i="6"/>
  <c r="E223" i="6"/>
  <c r="I221" i="6"/>
  <c r="G221" i="6"/>
  <c r="I220" i="6"/>
  <c r="G220" i="6"/>
  <c r="I215" i="6"/>
  <c r="G215" i="6"/>
  <c r="E215" i="6"/>
  <c r="I213" i="6"/>
  <c r="G213" i="6"/>
  <c r="I212" i="6"/>
  <c r="G212" i="6"/>
  <c r="H212" i="6" s="1"/>
  <c r="I207" i="6"/>
  <c r="G207" i="6"/>
  <c r="E207" i="6"/>
  <c r="I205" i="6"/>
  <c r="G205" i="6"/>
  <c r="I204" i="6"/>
  <c r="G204" i="6"/>
  <c r="I199" i="6"/>
  <c r="G199" i="6"/>
  <c r="E199" i="6"/>
  <c r="K199" i="6" s="1"/>
  <c r="I197" i="6"/>
  <c r="G197" i="6"/>
  <c r="E197" i="6"/>
  <c r="F197" i="6" s="1"/>
  <c r="I196" i="6"/>
  <c r="G196" i="6"/>
  <c r="I191" i="6"/>
  <c r="G191" i="6"/>
  <c r="E191" i="6"/>
  <c r="I189" i="6"/>
  <c r="G189" i="6"/>
  <c r="I188" i="6"/>
  <c r="G188" i="6"/>
  <c r="I183" i="6"/>
  <c r="G183" i="6"/>
  <c r="E183" i="6"/>
  <c r="I181" i="6"/>
  <c r="G181" i="6"/>
  <c r="I180" i="6"/>
  <c r="G180" i="6"/>
  <c r="I175" i="6"/>
  <c r="G175" i="6"/>
  <c r="E175" i="6"/>
  <c r="I172" i="6"/>
  <c r="G172" i="6"/>
  <c r="I171" i="6"/>
  <c r="G171" i="6"/>
  <c r="E171" i="6"/>
  <c r="I166" i="6"/>
  <c r="J166" i="6" s="1"/>
  <c r="J168" i="6" s="1"/>
  <c r="G166" i="6"/>
  <c r="E166" i="6"/>
  <c r="I165" i="6"/>
  <c r="G165" i="6"/>
  <c r="I160" i="6"/>
  <c r="G160" i="6"/>
  <c r="E160" i="6"/>
  <c r="I159" i="6"/>
  <c r="G159" i="6"/>
  <c r="E159" i="6"/>
  <c r="I157" i="6"/>
  <c r="G157" i="6"/>
  <c r="I156" i="6"/>
  <c r="G156" i="6"/>
  <c r="I152" i="6"/>
  <c r="G152" i="6"/>
  <c r="E152" i="6"/>
  <c r="I150" i="6"/>
  <c r="G150" i="6"/>
  <c r="I149" i="6"/>
  <c r="G149" i="6"/>
  <c r="I145" i="6"/>
  <c r="G145" i="6"/>
  <c r="E145" i="6"/>
  <c r="I143" i="6"/>
  <c r="G143" i="6"/>
  <c r="E143" i="6"/>
  <c r="F143" i="6" s="1"/>
  <c r="I142" i="6"/>
  <c r="G142" i="6"/>
  <c r="I138" i="6"/>
  <c r="G138" i="6"/>
  <c r="E138" i="6"/>
  <c r="I136" i="6"/>
  <c r="G136" i="6"/>
  <c r="I135" i="6"/>
  <c r="G135" i="6"/>
  <c r="I130" i="6"/>
  <c r="G130" i="6"/>
  <c r="H130" i="6" s="1"/>
  <c r="E130" i="6"/>
  <c r="I128" i="6"/>
  <c r="G128" i="6"/>
  <c r="H128" i="6" s="1"/>
  <c r="I127" i="6"/>
  <c r="G127" i="6"/>
  <c r="I122" i="6"/>
  <c r="G122" i="6"/>
  <c r="E122" i="6"/>
  <c r="I121" i="6"/>
  <c r="G121" i="6"/>
  <c r="I116" i="6"/>
  <c r="G116" i="6"/>
  <c r="E116" i="6"/>
  <c r="I115" i="6"/>
  <c r="G115" i="6"/>
  <c r="H115" i="6" s="1"/>
  <c r="L115" i="6" s="1"/>
  <c r="E115" i="6"/>
  <c r="I110" i="6"/>
  <c r="G110" i="6"/>
  <c r="E110" i="6"/>
  <c r="I107" i="6"/>
  <c r="G107" i="6"/>
  <c r="I106" i="6"/>
  <c r="G106" i="6"/>
  <c r="I101" i="6"/>
  <c r="G101" i="6"/>
  <c r="E101" i="6"/>
  <c r="I98" i="6"/>
  <c r="G98" i="6"/>
  <c r="E98" i="6"/>
  <c r="I97" i="6"/>
  <c r="J97" i="6" s="1"/>
  <c r="G97" i="6"/>
  <c r="I92" i="6"/>
  <c r="G92" i="6"/>
  <c r="E92" i="6"/>
  <c r="I89" i="6"/>
  <c r="G89" i="6"/>
  <c r="I88" i="6"/>
  <c r="G88" i="6"/>
  <c r="I83" i="6"/>
  <c r="G83" i="6"/>
  <c r="E83" i="6"/>
  <c r="I82" i="6"/>
  <c r="G82" i="6"/>
  <c r="K82" i="6" s="1"/>
  <c r="E82" i="6"/>
  <c r="I80" i="6"/>
  <c r="G80" i="6"/>
  <c r="I79" i="6"/>
  <c r="G79" i="6"/>
  <c r="I75" i="6"/>
  <c r="G75" i="6"/>
  <c r="E75" i="6"/>
  <c r="I73" i="6"/>
  <c r="G73" i="6"/>
  <c r="I72" i="6"/>
  <c r="G72" i="6"/>
  <c r="E72" i="6"/>
  <c r="I67" i="6"/>
  <c r="G67" i="6"/>
  <c r="E67" i="6"/>
  <c r="I64" i="6"/>
  <c r="G64" i="6"/>
  <c r="I63" i="6"/>
  <c r="G63" i="6"/>
  <c r="I58" i="6"/>
  <c r="G58" i="6"/>
  <c r="E58" i="6"/>
  <c r="I55" i="6"/>
  <c r="G55" i="6"/>
  <c r="E55" i="6"/>
  <c r="I54" i="6"/>
  <c r="G54" i="6"/>
  <c r="I49" i="6"/>
  <c r="G49" i="6"/>
  <c r="E49" i="6"/>
  <c r="I46" i="6"/>
  <c r="G46" i="6"/>
  <c r="I45" i="6"/>
  <c r="G45" i="6"/>
  <c r="I40" i="6"/>
  <c r="G40" i="6"/>
  <c r="E40" i="6"/>
  <c r="F40" i="6" s="1"/>
  <c r="I39" i="6"/>
  <c r="G39" i="6"/>
  <c r="E39" i="6"/>
  <c r="I38" i="6"/>
  <c r="G38" i="6"/>
  <c r="E38" i="6"/>
  <c r="I37" i="6"/>
  <c r="G37" i="6"/>
  <c r="E37" i="6"/>
  <c r="G34" i="6"/>
  <c r="H34" i="6" s="1"/>
  <c r="G33" i="6"/>
  <c r="H33" i="6" s="1"/>
  <c r="E33" i="6"/>
  <c r="I32" i="6"/>
  <c r="G32" i="6"/>
  <c r="E32" i="6"/>
  <c r="K32" i="6" s="1"/>
  <c r="I29" i="6"/>
  <c r="G29" i="6"/>
  <c r="I28" i="6"/>
  <c r="G28" i="6"/>
  <c r="I23" i="6"/>
  <c r="G23" i="6"/>
  <c r="E23" i="6"/>
  <c r="I22" i="6"/>
  <c r="G22" i="6"/>
  <c r="I17" i="6"/>
  <c r="G17" i="6"/>
  <c r="E17" i="6"/>
  <c r="I14" i="6"/>
  <c r="G14" i="6"/>
  <c r="I13" i="6"/>
  <c r="G13" i="6"/>
  <c r="I8" i="6"/>
  <c r="G8" i="6"/>
  <c r="I7" i="6"/>
  <c r="G7" i="6"/>
  <c r="I6" i="6"/>
  <c r="G6" i="6"/>
  <c r="E6" i="6"/>
  <c r="F6" i="6" s="1"/>
  <c r="I5" i="6"/>
  <c r="G5" i="6"/>
  <c r="M122" i="4"/>
  <c r="N122" i="4" s="1"/>
  <c r="V122" i="4" s="1"/>
  <c r="F123" i="4" s="1"/>
  <c r="K123" i="4" s="1"/>
  <c r="D261" i="6" s="1"/>
  <c r="M118" i="4"/>
  <c r="N118" i="4" s="1"/>
  <c r="AB118" i="4" s="1"/>
  <c r="F120" i="4" s="1"/>
  <c r="K120" i="4" s="1"/>
  <c r="D255" i="6" s="1"/>
  <c r="M117" i="4"/>
  <c r="N117" i="4"/>
  <c r="V117" i="4"/>
  <c r="F119" i="4" s="1"/>
  <c r="K119" i="4" s="1"/>
  <c r="D254" i="6" s="1"/>
  <c r="M114" i="4"/>
  <c r="N114" i="4"/>
  <c r="AB114" i="4" s="1"/>
  <c r="F115" i="4" s="1"/>
  <c r="K115" i="4" s="1"/>
  <c r="D248" i="6" s="1"/>
  <c r="J248" i="6" s="1"/>
  <c r="J250" i="6" s="1"/>
  <c r="M111" i="4"/>
  <c r="N111" i="4"/>
  <c r="Z111" i="4" s="1"/>
  <c r="F112" i="4" s="1"/>
  <c r="K112" i="4" s="1"/>
  <c r="D240" i="6" s="1"/>
  <c r="M108" i="4"/>
  <c r="N108" i="4" s="1"/>
  <c r="Z108" i="4" s="1"/>
  <c r="F109" i="4" s="1"/>
  <c r="K109" i="4" s="1"/>
  <c r="D229" i="6" s="1"/>
  <c r="M105" i="4"/>
  <c r="N105" i="4" s="1"/>
  <c r="AB105" i="4" s="1"/>
  <c r="F106" i="4" s="1"/>
  <c r="K106" i="4" s="1"/>
  <c r="D223" i="6" s="1"/>
  <c r="M102" i="4"/>
  <c r="N102" i="4"/>
  <c r="AA102" i="4" s="1"/>
  <c r="M101" i="4"/>
  <c r="N101" i="4"/>
  <c r="AA101" i="4" s="1"/>
  <c r="F103" i="4" s="1"/>
  <c r="K103" i="4" s="1"/>
  <c r="D215" i="6" s="1"/>
  <c r="M98" i="4"/>
  <c r="N98" i="4" s="1"/>
  <c r="AA98" i="4" s="1"/>
  <c r="M97" i="4"/>
  <c r="N97" i="4" s="1"/>
  <c r="AA97" i="4" s="1"/>
  <c r="F99" i="4" s="1"/>
  <c r="K99" i="4" s="1"/>
  <c r="D207" i="6" s="1"/>
  <c r="M94" i="4"/>
  <c r="N94" i="4" s="1"/>
  <c r="AA94" i="4" s="1"/>
  <c r="F95" i="4" s="1"/>
  <c r="K95" i="4" s="1"/>
  <c r="D199" i="6" s="1"/>
  <c r="M93" i="4"/>
  <c r="N93" i="4"/>
  <c r="AA93" i="4" s="1"/>
  <c r="M90" i="4"/>
  <c r="N90" i="4" s="1"/>
  <c r="AA90" i="4" s="1"/>
  <c r="F91" i="4" s="1"/>
  <c r="K91" i="4" s="1"/>
  <c r="D191" i="6" s="1"/>
  <c r="M87" i="4"/>
  <c r="N87" i="4"/>
  <c r="AA87" i="4" s="1"/>
  <c r="M86" i="4"/>
  <c r="N86" i="4"/>
  <c r="AA86" i="4" s="1"/>
  <c r="F88" i="4" s="1"/>
  <c r="K88" i="4" s="1"/>
  <c r="D183" i="6" s="1"/>
  <c r="M83" i="4"/>
  <c r="N83" i="4"/>
  <c r="Z83" i="4"/>
  <c r="F84" i="4" s="1"/>
  <c r="K84" i="4" s="1"/>
  <c r="D175" i="6" s="1"/>
  <c r="F81" i="4"/>
  <c r="K81" i="4"/>
  <c r="D166" i="6" s="1"/>
  <c r="M80" i="4"/>
  <c r="N80" i="4" s="1"/>
  <c r="Z80" i="4" s="1"/>
  <c r="M76" i="4"/>
  <c r="N76" i="4" s="1"/>
  <c r="AB76" i="4" s="1"/>
  <c r="F78" i="4" s="1"/>
  <c r="K78" i="4" s="1"/>
  <c r="D160" i="6" s="1"/>
  <c r="M75" i="4"/>
  <c r="N75" i="4" s="1"/>
  <c r="V75" i="4" s="1"/>
  <c r="M74" i="4"/>
  <c r="N74" i="4"/>
  <c r="AB74" i="4"/>
  <c r="M73" i="4"/>
  <c r="N73" i="4"/>
  <c r="V73" i="4" s="1"/>
  <c r="M70" i="4"/>
  <c r="N70" i="4"/>
  <c r="AA70" i="4" s="1"/>
  <c r="M69" i="4"/>
  <c r="N69" i="4"/>
  <c r="AA69" i="4" s="1"/>
  <c r="F71" i="4" s="1"/>
  <c r="K71" i="4" s="1"/>
  <c r="D152" i="6" s="1"/>
  <c r="M66" i="4"/>
  <c r="N66" i="4"/>
  <c r="AA66" i="4"/>
  <c r="M65" i="4"/>
  <c r="N65" i="4"/>
  <c r="AA65" i="4" s="1"/>
  <c r="F67" i="4" s="1"/>
  <c r="K67" i="4" s="1"/>
  <c r="D145" i="6" s="1"/>
  <c r="M62" i="4"/>
  <c r="N62" i="4"/>
  <c r="AA62" i="4" s="1"/>
  <c r="F63" i="4" s="1"/>
  <c r="K63" i="4" s="1"/>
  <c r="D138" i="6" s="1"/>
  <c r="M59" i="4"/>
  <c r="N59" i="4"/>
  <c r="AA59" i="4" s="1"/>
  <c r="M58" i="4"/>
  <c r="N58" i="4" s="1"/>
  <c r="AA58" i="4" s="1"/>
  <c r="F60" i="4" s="1"/>
  <c r="K60" i="4" s="1"/>
  <c r="D130" i="6" s="1"/>
  <c r="M55" i="4"/>
  <c r="N55" i="4"/>
  <c r="Z55" i="4" s="1"/>
  <c r="F56" i="4" s="1"/>
  <c r="K56" i="4" s="1"/>
  <c r="D122" i="6" s="1"/>
  <c r="M52" i="4"/>
  <c r="N52" i="4"/>
  <c r="Z52" i="4" s="1"/>
  <c r="F53" i="4" s="1"/>
  <c r="K53" i="4" s="1"/>
  <c r="D116" i="6" s="1"/>
  <c r="M49" i="4"/>
  <c r="N49" i="4" s="1"/>
  <c r="Z49" i="4" s="1"/>
  <c r="F50" i="4" s="1"/>
  <c r="K50" i="4" s="1"/>
  <c r="D110" i="6" s="1"/>
  <c r="M46" i="4"/>
  <c r="N46" i="4" s="1"/>
  <c r="Z46" i="4" s="1"/>
  <c r="F47" i="4" s="1"/>
  <c r="K47" i="4" s="1"/>
  <c r="D101" i="6" s="1"/>
  <c r="M43" i="4"/>
  <c r="N43" i="4"/>
  <c r="Z43" i="4" s="1"/>
  <c r="F44" i="4" s="1"/>
  <c r="K44" i="4" s="1"/>
  <c r="D92" i="6" s="1"/>
  <c r="F40" i="4"/>
  <c r="K40" i="4" s="1"/>
  <c r="D82" i="6" s="1"/>
  <c r="M39" i="4"/>
  <c r="N39" i="4" s="1"/>
  <c r="AB39" i="4" s="1"/>
  <c r="M38" i="4"/>
  <c r="N38" i="4" s="1"/>
  <c r="V38" i="4" s="1"/>
  <c r="M37" i="4"/>
  <c r="N37" i="4" s="1"/>
  <c r="AB37" i="4" s="1"/>
  <c r="F41" i="4" s="1"/>
  <c r="K41" i="4" s="1"/>
  <c r="D83" i="6" s="1"/>
  <c r="M36" i="4"/>
  <c r="N36" i="4" s="1"/>
  <c r="V36" i="4" s="1"/>
  <c r="F34" i="4"/>
  <c r="K34" i="4" s="1"/>
  <c r="D75" i="6" s="1"/>
  <c r="M33" i="4"/>
  <c r="N33" i="4"/>
  <c r="AA33" i="4" s="1"/>
  <c r="M32" i="4"/>
  <c r="N32" i="4" s="1"/>
  <c r="AA32" i="4" s="1"/>
  <c r="M29" i="4"/>
  <c r="N29" i="4"/>
  <c r="Z29" i="4"/>
  <c r="F30" i="4" s="1"/>
  <c r="K30" i="4" s="1"/>
  <c r="D67" i="6" s="1"/>
  <c r="M26" i="4"/>
  <c r="N26" i="4"/>
  <c r="Z26" i="4" s="1"/>
  <c r="M25" i="4"/>
  <c r="N25" i="4"/>
  <c r="Z25" i="4" s="1"/>
  <c r="M22" i="4"/>
  <c r="N22" i="4" s="1"/>
  <c r="Z22" i="4" s="1"/>
  <c r="M21" i="4"/>
  <c r="N21" i="4" s="1"/>
  <c r="Z21" i="4" s="1"/>
  <c r="M18" i="4"/>
  <c r="N18" i="4" s="1"/>
  <c r="Z18" i="4" s="1"/>
  <c r="F19" i="4" s="1"/>
  <c r="K19" i="4" s="1"/>
  <c r="D23" i="6" s="1"/>
  <c r="M15" i="4"/>
  <c r="N15" i="4" s="1"/>
  <c r="Z15" i="4" s="1"/>
  <c r="F16" i="4" s="1"/>
  <c r="K16" i="4" s="1"/>
  <c r="D17" i="6" s="1"/>
  <c r="M10" i="4"/>
  <c r="N10" i="4" s="1"/>
  <c r="Y10" i="4" s="1"/>
  <c r="M9" i="4"/>
  <c r="N9" i="4" s="1"/>
  <c r="V9" i="4" s="1"/>
  <c r="M8" i="4"/>
  <c r="N8" i="4"/>
  <c r="X8" i="4"/>
  <c r="M7" i="4"/>
  <c r="N7" i="4"/>
  <c r="V7" i="4" s="1"/>
  <c r="M6" i="4"/>
  <c r="N6" i="4" s="1"/>
  <c r="X6" i="4" s="1"/>
  <c r="M5" i="4"/>
  <c r="N5" i="4" s="1"/>
  <c r="V5" i="4" s="1"/>
  <c r="O66" i="5"/>
  <c r="O56" i="5"/>
  <c r="V56" i="5"/>
  <c r="I33" i="6" s="1"/>
  <c r="J33" i="6" s="1"/>
  <c r="O55" i="5"/>
  <c r="E34" i="6" s="1"/>
  <c r="V55" i="5"/>
  <c r="I34" i="6" s="1"/>
  <c r="J34" i="6" s="1"/>
  <c r="O54" i="5"/>
  <c r="V54" i="5"/>
  <c r="O53" i="5"/>
  <c r="O52" i="5"/>
  <c r="O51" i="5"/>
  <c r="O50" i="5"/>
  <c r="E5" i="6" s="1"/>
  <c r="O49" i="5"/>
  <c r="O48" i="5"/>
  <c r="E64" i="6" s="1"/>
  <c r="O47" i="5"/>
  <c r="E107" i="6" s="1"/>
  <c r="O46" i="5"/>
  <c r="E97" i="6" s="1"/>
  <c r="O45" i="5"/>
  <c r="E89" i="6" s="1"/>
  <c r="O44" i="5"/>
  <c r="E14" i="6" s="1"/>
  <c r="O43" i="5"/>
  <c r="E54" i="6" s="1"/>
  <c r="O42" i="5"/>
  <c r="E46" i="6" s="1"/>
  <c r="O41" i="5"/>
  <c r="E239" i="6" s="1"/>
  <c r="O40" i="5"/>
  <c r="E234" i="6" s="1"/>
  <c r="O39" i="5"/>
  <c r="O38" i="5"/>
  <c r="O37" i="5"/>
  <c r="O36" i="5"/>
  <c r="E228" i="6" s="1"/>
  <c r="O35" i="5"/>
  <c r="E253" i="6" s="1"/>
  <c r="O34" i="5"/>
  <c r="E165" i="6" s="1"/>
  <c r="O33" i="5"/>
  <c r="E8" i="6" s="1"/>
  <c r="O32" i="5"/>
  <c r="E7" i="6" s="1"/>
  <c r="O31" i="5"/>
  <c r="O30" i="5"/>
  <c r="E121" i="6" s="1"/>
  <c r="O29" i="5"/>
  <c r="O28" i="5"/>
  <c r="E22" i="6" s="1"/>
  <c r="O27" i="5"/>
  <c r="E236" i="6" s="1"/>
  <c r="O26" i="5"/>
  <c r="O25" i="5"/>
  <c r="O24" i="5"/>
  <c r="E235" i="6" s="1"/>
  <c r="O23" i="5"/>
  <c r="E29" i="6" s="1"/>
  <c r="O22" i="5"/>
  <c r="E28" i="6" s="1"/>
  <c r="O21" i="5"/>
  <c r="E80" i="6" s="1"/>
  <c r="O20" i="5"/>
  <c r="E157" i="6" s="1"/>
  <c r="O19" i="5"/>
  <c r="E189" i="6" s="1"/>
  <c r="O18" i="5"/>
  <c r="E73" i="6" s="1"/>
  <c r="O17" i="5"/>
  <c r="E196" i="6" s="1"/>
  <c r="O16" i="5"/>
  <c r="E212" i="6" s="1"/>
  <c r="O15" i="5"/>
  <c r="E205" i="6" s="1"/>
  <c r="O14" i="5"/>
  <c r="E150" i="6" s="1"/>
  <c r="O13" i="5"/>
  <c r="E142" i="6" s="1"/>
  <c r="O12" i="5"/>
  <c r="E136" i="6" s="1"/>
  <c r="O11" i="5"/>
  <c r="E128" i="6" s="1"/>
  <c r="O10" i="5"/>
  <c r="E181" i="6" s="1"/>
  <c r="O9" i="5"/>
  <c r="E246" i="6" s="1"/>
  <c r="O8" i="5"/>
  <c r="E221" i="6" s="1"/>
  <c r="O7" i="5"/>
  <c r="E268" i="6" s="1"/>
  <c r="O6" i="5"/>
  <c r="E260" i="6" s="1"/>
  <c r="V5" i="5"/>
  <c r="I266" i="6" s="1"/>
  <c r="H269" i="6"/>
  <c r="J269" i="6"/>
  <c r="H268" i="6"/>
  <c r="H270" i="6" s="1"/>
  <c r="F36" i="7" s="1"/>
  <c r="G36" i="6" s="1"/>
  <c r="H36" i="6" s="1"/>
  <c r="J268" i="6"/>
  <c r="F267" i="6"/>
  <c r="H267" i="6"/>
  <c r="J267" i="6"/>
  <c r="K267" i="6"/>
  <c r="F266" i="6"/>
  <c r="H266" i="6"/>
  <c r="H262" i="6"/>
  <c r="J262" i="6"/>
  <c r="H260" i="6"/>
  <c r="H256" i="6"/>
  <c r="J256" i="6"/>
  <c r="K255" i="6"/>
  <c r="K254" i="6"/>
  <c r="H253" i="6"/>
  <c r="J253" i="6"/>
  <c r="H249" i="6"/>
  <c r="J249" i="6"/>
  <c r="K248" i="6"/>
  <c r="H247" i="6"/>
  <c r="J247" i="6"/>
  <c r="J246" i="6"/>
  <c r="H245" i="6"/>
  <c r="J245" i="6"/>
  <c r="H241" i="6"/>
  <c r="J241" i="6"/>
  <c r="K240" i="6"/>
  <c r="H239" i="6"/>
  <c r="J239" i="6"/>
  <c r="J238" i="6"/>
  <c r="K237" i="6"/>
  <c r="H236" i="6"/>
  <c r="J236" i="6"/>
  <c r="H235" i="6"/>
  <c r="J235" i="6"/>
  <c r="H234" i="6"/>
  <c r="J234" i="6"/>
  <c r="H230" i="6"/>
  <c r="J230" i="6"/>
  <c r="K229" i="6"/>
  <c r="H228" i="6"/>
  <c r="J228" i="6"/>
  <c r="H224" i="6"/>
  <c r="J224" i="6"/>
  <c r="K223" i="6"/>
  <c r="H222" i="6"/>
  <c r="J222" i="6"/>
  <c r="H221" i="6"/>
  <c r="J221" i="6"/>
  <c r="H220" i="6"/>
  <c r="J220" i="6"/>
  <c r="F216" i="6"/>
  <c r="J216" i="6"/>
  <c r="K215" i="6"/>
  <c r="H214" i="6"/>
  <c r="J214" i="6"/>
  <c r="H213" i="6"/>
  <c r="J213" i="6"/>
  <c r="J212" i="6"/>
  <c r="F208" i="6"/>
  <c r="J208" i="6"/>
  <c r="K207" i="6"/>
  <c r="H206" i="6"/>
  <c r="J206" i="6"/>
  <c r="H205" i="6"/>
  <c r="J205" i="6"/>
  <c r="H204" i="6"/>
  <c r="J204" i="6"/>
  <c r="F200" i="6"/>
  <c r="J200" i="6"/>
  <c r="H198" i="6"/>
  <c r="J198" i="6"/>
  <c r="H197" i="6"/>
  <c r="J197" i="6"/>
  <c r="H196" i="6"/>
  <c r="J196" i="6"/>
  <c r="F192" i="6"/>
  <c r="J192" i="6"/>
  <c r="K191" i="6"/>
  <c r="H190" i="6"/>
  <c r="J190" i="6"/>
  <c r="H189" i="6"/>
  <c r="J189" i="6"/>
  <c r="H188" i="6"/>
  <c r="J188" i="6"/>
  <c r="H184" i="6"/>
  <c r="J184" i="6"/>
  <c r="K183" i="6"/>
  <c r="H182" i="6"/>
  <c r="J182" i="6"/>
  <c r="H181" i="6"/>
  <c r="J181" i="6"/>
  <c r="H180" i="6"/>
  <c r="J180" i="6"/>
  <c r="H176" i="6"/>
  <c r="J176" i="6"/>
  <c r="K175" i="6"/>
  <c r="H174" i="6"/>
  <c r="J174" i="6"/>
  <c r="H173" i="6"/>
  <c r="J173" i="6"/>
  <c r="H172" i="6"/>
  <c r="J172" i="6"/>
  <c r="F171" i="6"/>
  <c r="H171" i="6"/>
  <c r="J171" i="6"/>
  <c r="K171" i="6"/>
  <c r="F167" i="6"/>
  <c r="J167" i="6"/>
  <c r="K166" i="6"/>
  <c r="H165" i="6"/>
  <c r="J165" i="6"/>
  <c r="H161" i="6"/>
  <c r="J161" i="6"/>
  <c r="K160" i="6"/>
  <c r="K159" i="6"/>
  <c r="H158" i="6"/>
  <c r="J158" i="6"/>
  <c r="H157" i="6"/>
  <c r="J157" i="6"/>
  <c r="H156" i="6"/>
  <c r="J156" i="6"/>
  <c r="K152" i="6"/>
  <c r="H151" i="6"/>
  <c r="J151" i="6"/>
  <c r="H150" i="6"/>
  <c r="J150" i="6"/>
  <c r="H149" i="6"/>
  <c r="J149" i="6"/>
  <c r="K145" i="6"/>
  <c r="H144" i="6"/>
  <c r="J144" i="6"/>
  <c r="H143" i="6"/>
  <c r="J143" i="6"/>
  <c r="K143" i="6"/>
  <c r="H142" i="6"/>
  <c r="J142" i="6"/>
  <c r="K138" i="6"/>
  <c r="H137" i="6"/>
  <c r="J137" i="6"/>
  <c r="H136" i="6"/>
  <c r="J136" i="6"/>
  <c r="H135" i="6"/>
  <c r="J135" i="6"/>
  <c r="H131" i="6"/>
  <c r="J131" i="6"/>
  <c r="K130" i="6"/>
  <c r="H129" i="6"/>
  <c r="J129" i="6"/>
  <c r="J128" i="6"/>
  <c r="H127" i="6"/>
  <c r="J127" i="6"/>
  <c r="F123" i="6"/>
  <c r="J123" i="6"/>
  <c r="K122" i="6"/>
  <c r="H121" i="6"/>
  <c r="J121" i="6"/>
  <c r="F117" i="6"/>
  <c r="J117" i="6"/>
  <c r="K116" i="6"/>
  <c r="F115" i="6"/>
  <c r="J115" i="6"/>
  <c r="K115" i="6"/>
  <c r="F111" i="6"/>
  <c r="J111" i="6"/>
  <c r="K110" i="6"/>
  <c r="H109" i="6"/>
  <c r="J109" i="6"/>
  <c r="H108" i="6"/>
  <c r="J108" i="6"/>
  <c r="H107" i="6"/>
  <c r="J107" i="6"/>
  <c r="H106" i="6"/>
  <c r="J106" i="6"/>
  <c r="F102" i="6"/>
  <c r="J102" i="6"/>
  <c r="K101" i="6"/>
  <c r="H100" i="6"/>
  <c r="J100" i="6"/>
  <c r="H99" i="6"/>
  <c r="J99" i="6"/>
  <c r="F98" i="6"/>
  <c r="L98" i="6" s="1"/>
  <c r="H98" i="6"/>
  <c r="J98" i="6"/>
  <c r="K98" i="6"/>
  <c r="H97" i="6"/>
  <c r="F93" i="6"/>
  <c r="J93" i="6"/>
  <c r="K92" i="6"/>
  <c r="H91" i="6"/>
  <c r="J91" i="6"/>
  <c r="H90" i="6"/>
  <c r="J90" i="6"/>
  <c r="H89" i="6"/>
  <c r="J89" i="6"/>
  <c r="H88" i="6"/>
  <c r="J88" i="6"/>
  <c r="H84" i="6"/>
  <c r="J84" i="6"/>
  <c r="K83" i="6"/>
  <c r="H81" i="6"/>
  <c r="J81" i="6"/>
  <c r="H80" i="6"/>
  <c r="J80" i="6"/>
  <c r="H79" i="6"/>
  <c r="J79" i="6"/>
  <c r="H74" i="6"/>
  <c r="J74" i="6"/>
  <c r="H73" i="6"/>
  <c r="J73" i="6"/>
  <c r="F72" i="6"/>
  <c r="L72" i="6" s="1"/>
  <c r="H72" i="6"/>
  <c r="J72" i="6"/>
  <c r="K72" i="6"/>
  <c r="F68" i="6"/>
  <c r="J68" i="6"/>
  <c r="K67" i="6"/>
  <c r="H66" i="6"/>
  <c r="J66" i="6"/>
  <c r="H65" i="6"/>
  <c r="J65" i="6"/>
  <c r="H64" i="6"/>
  <c r="J64" i="6"/>
  <c r="H63" i="6"/>
  <c r="J63" i="6"/>
  <c r="H59" i="6"/>
  <c r="J59" i="6"/>
  <c r="K58" i="6"/>
  <c r="H57" i="6"/>
  <c r="J57" i="6"/>
  <c r="H56" i="6"/>
  <c r="J56" i="6"/>
  <c r="F55" i="6"/>
  <c r="L55" i="6" s="1"/>
  <c r="H55" i="6"/>
  <c r="J55" i="6"/>
  <c r="K55" i="6"/>
  <c r="H54" i="6"/>
  <c r="J54" i="6"/>
  <c r="F50" i="6"/>
  <c r="J50" i="6"/>
  <c r="K49" i="6"/>
  <c r="H48" i="6"/>
  <c r="J48" i="6"/>
  <c r="H47" i="6"/>
  <c r="J47" i="6"/>
  <c r="H46" i="6"/>
  <c r="J46" i="6"/>
  <c r="H45" i="6"/>
  <c r="J45" i="6"/>
  <c r="F41" i="6"/>
  <c r="J41" i="6"/>
  <c r="H40" i="6"/>
  <c r="G41" i="6" s="1"/>
  <c r="J40" i="6"/>
  <c r="K40" i="6"/>
  <c r="F39" i="6"/>
  <c r="H39" i="6"/>
  <c r="J39" i="6"/>
  <c r="K39" i="6"/>
  <c r="F38" i="6"/>
  <c r="H38" i="6"/>
  <c r="J38" i="6"/>
  <c r="K38" i="6"/>
  <c r="F37" i="6"/>
  <c r="H37" i="6"/>
  <c r="J37" i="6"/>
  <c r="K37" i="6"/>
  <c r="F32" i="6"/>
  <c r="L32" i="6" s="1"/>
  <c r="H32" i="6"/>
  <c r="J32" i="6"/>
  <c r="H29" i="6"/>
  <c r="J29" i="6"/>
  <c r="H28" i="6"/>
  <c r="J28" i="6"/>
  <c r="F24" i="6"/>
  <c r="J24" i="6"/>
  <c r="K23" i="6"/>
  <c r="H22" i="6"/>
  <c r="J22" i="6"/>
  <c r="F18" i="6"/>
  <c r="J18" i="6"/>
  <c r="K17" i="6"/>
  <c r="H16" i="6"/>
  <c r="J16" i="6"/>
  <c r="H15" i="6"/>
  <c r="J15" i="6"/>
  <c r="H14" i="6"/>
  <c r="J14" i="6"/>
  <c r="H13" i="6"/>
  <c r="J13" i="6"/>
  <c r="E9" i="6"/>
  <c r="H9" i="6"/>
  <c r="J9" i="6"/>
  <c r="H8" i="6"/>
  <c r="J8" i="6"/>
  <c r="H7" i="6"/>
  <c r="J7" i="6"/>
  <c r="H6" i="6"/>
  <c r="J6" i="6"/>
  <c r="K6" i="6"/>
  <c r="H5" i="6"/>
  <c r="H10" i="6" s="1"/>
  <c r="F4" i="7" s="1"/>
  <c r="J5" i="6"/>
  <c r="G12" i="9"/>
  <c r="H12" i="9" s="1"/>
  <c r="G11" i="9" s="1"/>
  <c r="F181" i="6" l="1"/>
  <c r="L181" i="6" s="1"/>
  <c r="K181" i="6"/>
  <c r="J92" i="6"/>
  <c r="F92" i="6"/>
  <c r="H92" i="6"/>
  <c r="G93" i="6" s="1"/>
  <c r="H175" i="6"/>
  <c r="E176" i="6" s="1"/>
  <c r="J175" i="6"/>
  <c r="F27" i="4"/>
  <c r="K27" i="4" s="1"/>
  <c r="D58" i="6" s="1"/>
  <c r="F128" i="6"/>
  <c r="L128" i="6" s="1"/>
  <c r="K128" i="6"/>
  <c r="F236" i="6"/>
  <c r="K236" i="6"/>
  <c r="K54" i="6"/>
  <c r="F54" i="6"/>
  <c r="L54" i="6" s="1"/>
  <c r="F101" i="6"/>
  <c r="L101" i="6" s="1"/>
  <c r="J101" i="6"/>
  <c r="J103" i="6" s="1"/>
  <c r="G14" i="7" s="1"/>
  <c r="H101" i="6"/>
  <c r="G102" i="6" s="1"/>
  <c r="H152" i="6"/>
  <c r="J152" i="6"/>
  <c r="J153" i="6" s="1"/>
  <c r="G21" i="7" s="1"/>
  <c r="F229" i="6"/>
  <c r="H229" i="6"/>
  <c r="E230" i="6" s="1"/>
  <c r="J229" i="6"/>
  <c r="J231" i="6" s="1"/>
  <c r="G31" i="7" s="1"/>
  <c r="H116" i="6"/>
  <c r="G117" i="6" s="1"/>
  <c r="J116" i="6"/>
  <c r="J118" i="6" s="1"/>
  <c r="G16" i="7" s="1"/>
  <c r="K107" i="6"/>
  <c r="F107" i="6"/>
  <c r="J76" i="6"/>
  <c r="F212" i="6"/>
  <c r="E214" i="6" s="1"/>
  <c r="K212" i="6"/>
  <c r="F7" i="6"/>
  <c r="K7" i="6"/>
  <c r="F64" i="6"/>
  <c r="K64" i="6"/>
  <c r="F122" i="6"/>
  <c r="H122" i="6"/>
  <c r="G123" i="6" s="1"/>
  <c r="J122" i="6"/>
  <c r="J124" i="6" s="1"/>
  <c r="F77" i="4"/>
  <c r="K77" i="4" s="1"/>
  <c r="D159" i="6" s="1"/>
  <c r="F14" i="6"/>
  <c r="L14" i="6" s="1"/>
  <c r="K14" i="6"/>
  <c r="K196" i="6"/>
  <c r="F196" i="6"/>
  <c r="F8" i="6"/>
  <c r="L8" i="6" s="1"/>
  <c r="K8" i="6"/>
  <c r="F254" i="6"/>
  <c r="H254" i="6"/>
  <c r="E256" i="6" s="1"/>
  <c r="J254" i="6"/>
  <c r="J257" i="6" s="1"/>
  <c r="G34" i="7" s="1"/>
  <c r="I31" i="6" s="1"/>
  <c r="J31" i="6" s="1"/>
  <c r="F136" i="6"/>
  <c r="L136" i="6" s="1"/>
  <c r="K136" i="6"/>
  <c r="F142" i="6"/>
  <c r="E144" i="6" s="1"/>
  <c r="K142" i="6"/>
  <c r="H132" i="6"/>
  <c r="F18" i="7" s="1"/>
  <c r="E131" i="6"/>
  <c r="F191" i="6"/>
  <c r="H191" i="6"/>
  <c r="G192" i="6" s="1"/>
  <c r="J191" i="6"/>
  <c r="J193" i="6" s="1"/>
  <c r="G26" i="7" s="1"/>
  <c r="F73" i="6"/>
  <c r="K73" i="6"/>
  <c r="F165" i="6"/>
  <c r="K165" i="6"/>
  <c r="K5" i="6"/>
  <c r="F5" i="6"/>
  <c r="L5" i="6" s="1"/>
  <c r="F130" i="6"/>
  <c r="L130" i="6" s="1"/>
  <c r="J130" i="6"/>
  <c r="J132" i="6" s="1"/>
  <c r="F116" i="6"/>
  <c r="F183" i="6"/>
  <c r="H183" i="6"/>
  <c r="J183" i="6"/>
  <c r="J185" i="6" s="1"/>
  <c r="G25" i="7" s="1"/>
  <c r="F121" i="6"/>
  <c r="K121" i="6"/>
  <c r="J94" i="6"/>
  <c r="F189" i="6"/>
  <c r="L189" i="6" s="1"/>
  <c r="K189" i="6"/>
  <c r="F253" i="6"/>
  <c r="L253" i="6" s="1"/>
  <c r="K253" i="6"/>
  <c r="H110" i="6"/>
  <c r="G111" i="6" s="1"/>
  <c r="F110" i="6"/>
  <c r="J110" i="6"/>
  <c r="J112" i="6" s="1"/>
  <c r="G15" i="7" s="1"/>
  <c r="K97" i="6"/>
  <c r="F97" i="6"/>
  <c r="L97" i="6" s="1"/>
  <c r="F228" i="6"/>
  <c r="L228" i="6" s="1"/>
  <c r="K228" i="6"/>
  <c r="F199" i="6"/>
  <c r="H199" i="6"/>
  <c r="G200" i="6" s="1"/>
  <c r="J199" i="6"/>
  <c r="J201" i="6" s="1"/>
  <c r="G27" i="7" s="1"/>
  <c r="F255" i="6"/>
  <c r="H255" i="6"/>
  <c r="J255" i="6"/>
  <c r="H248" i="6"/>
  <c r="E249" i="6" s="1"/>
  <c r="F249" i="6" s="1"/>
  <c r="L249" i="6" s="1"/>
  <c r="F240" i="6"/>
  <c r="H240" i="6"/>
  <c r="E241" i="6" s="1"/>
  <c r="J240" i="6"/>
  <c r="J242" i="6" s="1"/>
  <c r="G32" i="7" s="1"/>
  <c r="F205" i="6"/>
  <c r="L205" i="6" s="1"/>
  <c r="K205" i="6"/>
  <c r="H75" i="6"/>
  <c r="H76" i="6" s="1"/>
  <c r="F11" i="7" s="1"/>
  <c r="J75" i="6"/>
  <c r="J266" i="6"/>
  <c r="J270" i="6" s="1"/>
  <c r="G36" i="7" s="1"/>
  <c r="I36" i="6" s="1"/>
  <c r="J36" i="6" s="1"/>
  <c r="K266" i="6"/>
  <c r="F80" i="6"/>
  <c r="L80" i="6" s="1"/>
  <c r="K80" i="6"/>
  <c r="F67" i="6"/>
  <c r="H67" i="6"/>
  <c r="G68" i="6" s="1"/>
  <c r="J67" i="6"/>
  <c r="J69" i="6" s="1"/>
  <c r="F207" i="6"/>
  <c r="H207" i="6"/>
  <c r="J207" i="6"/>
  <c r="J209" i="6" s="1"/>
  <c r="J261" i="6"/>
  <c r="L261" i="6" s="1"/>
  <c r="F261" i="6"/>
  <c r="H261" i="6"/>
  <c r="F260" i="6"/>
  <c r="K260" i="6"/>
  <c r="F28" i="6"/>
  <c r="L28" i="6" s="1"/>
  <c r="K28" i="6"/>
  <c r="J17" i="6"/>
  <c r="J19" i="6" s="1"/>
  <c r="F17" i="6"/>
  <c r="H17" i="6"/>
  <c r="G18" i="6" s="1"/>
  <c r="F83" i="6"/>
  <c r="L83" i="6" s="1"/>
  <c r="J83" i="6"/>
  <c r="H83" i="6"/>
  <c r="F160" i="6"/>
  <c r="L160" i="6" s="1"/>
  <c r="H160" i="6"/>
  <c r="J160" i="6"/>
  <c r="F138" i="6"/>
  <c r="H138" i="6"/>
  <c r="H139" i="6" s="1"/>
  <c r="F19" i="7" s="1"/>
  <c r="J138" i="6"/>
  <c r="J139" i="6" s="1"/>
  <c r="K268" i="6"/>
  <c r="F268" i="6"/>
  <c r="E269" i="6" s="1"/>
  <c r="F29" i="6"/>
  <c r="L29" i="6" s="1"/>
  <c r="K29" i="6"/>
  <c r="H23" i="6"/>
  <c r="G24" i="6" s="1"/>
  <c r="J23" i="6"/>
  <c r="J25" i="6" s="1"/>
  <c r="G6" i="7" s="1"/>
  <c r="F23" i="6"/>
  <c r="F145" i="6"/>
  <c r="H145" i="6"/>
  <c r="H146" i="6" s="1"/>
  <c r="F20" i="7" s="1"/>
  <c r="J145" i="6"/>
  <c r="J146" i="6" s="1"/>
  <c r="G20" i="7" s="1"/>
  <c r="F215" i="6"/>
  <c r="H215" i="6"/>
  <c r="G216" i="6" s="1"/>
  <c r="H216" i="6" s="1"/>
  <c r="J215" i="6"/>
  <c r="L215" i="6" s="1"/>
  <c r="F22" i="6"/>
  <c r="K22" i="6"/>
  <c r="K89" i="6"/>
  <c r="F89" i="6"/>
  <c r="L89" i="6" s="1"/>
  <c r="F150" i="6"/>
  <c r="L150" i="6" s="1"/>
  <c r="K150" i="6"/>
  <c r="F157" i="6"/>
  <c r="L157" i="6" s="1"/>
  <c r="K157" i="6"/>
  <c r="J177" i="6"/>
  <c r="F221" i="6"/>
  <c r="K221" i="6"/>
  <c r="F235" i="6"/>
  <c r="L235" i="6" s="1"/>
  <c r="K235" i="6"/>
  <c r="K234" i="6"/>
  <c r="F234" i="6"/>
  <c r="F23" i="4"/>
  <c r="K23" i="4" s="1"/>
  <c r="D49" i="6" s="1"/>
  <c r="F166" i="6"/>
  <c r="L166" i="6" s="1"/>
  <c r="H166" i="6"/>
  <c r="G167" i="6" s="1"/>
  <c r="F246" i="6"/>
  <c r="K246" i="6"/>
  <c r="F239" i="6"/>
  <c r="L239" i="6" s="1"/>
  <c r="K239" i="6"/>
  <c r="J82" i="6"/>
  <c r="J85" i="6" s="1"/>
  <c r="G12" i="7" s="1"/>
  <c r="H82" i="6"/>
  <c r="E84" i="6" s="1"/>
  <c r="F82" i="6"/>
  <c r="E156" i="6"/>
  <c r="J10" i="6"/>
  <c r="G4" i="7" s="1"/>
  <c r="E213" i="6"/>
  <c r="F248" i="6"/>
  <c r="L248" i="6" s="1"/>
  <c r="L142" i="6"/>
  <c r="H153" i="6"/>
  <c r="F21" i="7" s="1"/>
  <c r="K197" i="6"/>
  <c r="H231" i="6"/>
  <c r="F31" i="7" s="1"/>
  <c r="E188" i="6"/>
  <c r="L171" i="6"/>
  <c r="E45" i="6"/>
  <c r="E88" i="6"/>
  <c r="E135" i="6"/>
  <c r="E172" i="6"/>
  <c r="F159" i="6"/>
  <c r="E204" i="6"/>
  <c r="E63" i="6"/>
  <c r="E106" i="6"/>
  <c r="E149" i="6"/>
  <c r="F175" i="6"/>
  <c r="E220" i="6"/>
  <c r="H177" i="6"/>
  <c r="F24" i="7" s="1"/>
  <c r="E79" i="6"/>
  <c r="E13" i="6"/>
  <c r="E180" i="6"/>
  <c r="E127" i="6"/>
  <c r="E245" i="6"/>
  <c r="F152" i="6"/>
  <c r="H250" i="6"/>
  <c r="F33" i="7" s="1"/>
  <c r="G30" i="6" s="1"/>
  <c r="H30" i="6" s="1"/>
  <c r="H257" i="6"/>
  <c r="F34" i="7" s="1"/>
  <c r="G31" i="6" s="1"/>
  <c r="H31" i="6" s="1"/>
  <c r="I12" i="9"/>
  <c r="J12" i="9" s="1"/>
  <c r="I11" i="9" s="1"/>
  <c r="E12" i="9"/>
  <c r="F12" i="9" s="1"/>
  <c r="E11" i="9" s="1"/>
  <c r="H11" i="9"/>
  <c r="F223" i="6"/>
  <c r="L223" i="6" s="1"/>
  <c r="H223" i="6"/>
  <c r="J223" i="6"/>
  <c r="J225" i="6" s="1"/>
  <c r="G30" i="7" s="1"/>
  <c r="L268" i="6"/>
  <c r="F269" i="6"/>
  <c r="K269" i="6"/>
  <c r="L267" i="6"/>
  <c r="L266" i="6"/>
  <c r="H263" i="6"/>
  <c r="F35" i="7" s="1"/>
  <c r="G35" i="6" s="1"/>
  <c r="H35" i="6" s="1"/>
  <c r="E262" i="6"/>
  <c r="L260" i="6"/>
  <c r="L255" i="6"/>
  <c r="L254" i="6"/>
  <c r="L246" i="6"/>
  <c r="L240" i="6"/>
  <c r="H238" i="6"/>
  <c r="L238" i="6" s="1"/>
  <c r="K238" i="6"/>
  <c r="L236" i="6"/>
  <c r="L234" i="6"/>
  <c r="H242" i="6"/>
  <c r="F32" i="7" s="1"/>
  <c r="L229" i="6"/>
  <c r="L221" i="6"/>
  <c r="L212" i="6"/>
  <c r="L207" i="6"/>
  <c r="G208" i="6"/>
  <c r="L199" i="6"/>
  <c r="L197" i="6"/>
  <c r="L191" i="6"/>
  <c r="L183" i="6"/>
  <c r="L175" i="6"/>
  <c r="F176" i="6"/>
  <c r="L176" i="6" s="1"/>
  <c r="K176" i="6"/>
  <c r="E174" i="6"/>
  <c r="E173" i="6"/>
  <c r="L152" i="6"/>
  <c r="L143" i="6"/>
  <c r="F127" i="6"/>
  <c r="K127" i="6"/>
  <c r="L121" i="6"/>
  <c r="H117" i="6"/>
  <c r="K117" i="6"/>
  <c r="L110" i="6"/>
  <c r="L107" i="6"/>
  <c r="L92" i="6"/>
  <c r="F84" i="6"/>
  <c r="L84" i="6" s="1"/>
  <c r="K84" i="6"/>
  <c r="F75" i="6"/>
  <c r="L75" i="6" s="1"/>
  <c r="K75" i="6"/>
  <c r="E74" i="6"/>
  <c r="L73" i="6"/>
  <c r="L67" i="6"/>
  <c r="L64" i="6"/>
  <c r="E57" i="6"/>
  <c r="E56" i="6"/>
  <c r="F46" i="6"/>
  <c r="L46" i="6" s="1"/>
  <c r="K46" i="6"/>
  <c r="L40" i="6"/>
  <c r="L39" i="6"/>
  <c r="L38" i="6"/>
  <c r="L37" i="6"/>
  <c r="F34" i="6"/>
  <c r="L34" i="6" s="1"/>
  <c r="K34" i="6"/>
  <c r="F33" i="6"/>
  <c r="K33" i="6"/>
  <c r="L22" i="6"/>
  <c r="H24" i="6"/>
  <c r="K24" i="6"/>
  <c r="L17" i="6"/>
  <c r="K18" i="6"/>
  <c r="H18" i="6"/>
  <c r="L7" i="6"/>
  <c r="L6" i="6"/>
  <c r="F256" i="6"/>
  <c r="K256" i="6"/>
  <c r="G33" i="7"/>
  <c r="I30" i="6" s="1"/>
  <c r="J30" i="6" s="1"/>
  <c r="F241" i="6"/>
  <c r="K241" i="6"/>
  <c r="F230" i="6"/>
  <c r="K230" i="6"/>
  <c r="F214" i="6"/>
  <c r="K214" i="6"/>
  <c r="G28" i="7"/>
  <c r="H200" i="6"/>
  <c r="K200" i="6"/>
  <c r="H192" i="6"/>
  <c r="K192" i="6"/>
  <c r="G24" i="7"/>
  <c r="G23" i="7"/>
  <c r="H167" i="6"/>
  <c r="K167" i="6"/>
  <c r="F144" i="6"/>
  <c r="K144" i="6"/>
  <c r="G19" i="7"/>
  <c r="G18" i="7"/>
  <c r="F131" i="6"/>
  <c r="L131" i="6" s="1"/>
  <c r="K131" i="6"/>
  <c r="G17" i="7"/>
  <c r="H123" i="6"/>
  <c r="K123" i="6"/>
  <c r="H111" i="6"/>
  <c r="K111" i="6"/>
  <c r="H102" i="6"/>
  <c r="K102" i="6"/>
  <c r="G13" i="7"/>
  <c r="H93" i="6"/>
  <c r="K93" i="6"/>
  <c r="G11" i="7"/>
  <c r="G10" i="7"/>
  <c r="H68" i="6"/>
  <c r="K68" i="6"/>
  <c r="H41" i="6"/>
  <c r="K41" i="6"/>
  <c r="G5" i="7"/>
  <c r="F9" i="6"/>
  <c r="K9" i="6"/>
  <c r="K63" i="6" l="1"/>
  <c r="F63" i="6"/>
  <c r="F213" i="6"/>
  <c r="L213" i="6" s="1"/>
  <c r="K213" i="6"/>
  <c r="J217" i="6"/>
  <c r="G29" i="7" s="1"/>
  <c r="K216" i="6"/>
  <c r="L82" i="6"/>
  <c r="F172" i="6"/>
  <c r="L172" i="6" s="1"/>
  <c r="K172" i="6"/>
  <c r="F168" i="6"/>
  <c r="E23" i="7" s="1"/>
  <c r="L165" i="6"/>
  <c r="E198" i="6"/>
  <c r="L196" i="6"/>
  <c r="F88" i="6"/>
  <c r="K88" i="6"/>
  <c r="F180" i="6"/>
  <c r="K180" i="6"/>
  <c r="F45" i="6"/>
  <c r="K45" i="6"/>
  <c r="F58" i="6"/>
  <c r="H58" i="6"/>
  <c r="J58" i="6"/>
  <c r="J60" i="6" s="1"/>
  <c r="G9" i="7" s="1"/>
  <c r="F13" i="6"/>
  <c r="K13" i="6"/>
  <c r="J263" i="6"/>
  <c r="G35" i="7" s="1"/>
  <c r="I35" i="6" s="1"/>
  <c r="F156" i="6"/>
  <c r="K156" i="6"/>
  <c r="K79" i="6"/>
  <c r="F79" i="6"/>
  <c r="F188" i="6"/>
  <c r="K188" i="6"/>
  <c r="H159" i="6"/>
  <c r="J159" i="6"/>
  <c r="J162" i="6" s="1"/>
  <c r="G22" i="7" s="1"/>
  <c r="L145" i="6"/>
  <c r="K135" i="6"/>
  <c r="F135" i="6"/>
  <c r="F25" i="6"/>
  <c r="E6" i="7" s="1"/>
  <c r="L23" i="6"/>
  <c r="K204" i="6"/>
  <c r="F204" i="6"/>
  <c r="F245" i="6"/>
  <c r="K245" i="6"/>
  <c r="I9" i="9"/>
  <c r="J9" i="9" s="1"/>
  <c r="K249" i="6"/>
  <c r="E100" i="6"/>
  <c r="F220" i="6"/>
  <c r="K220" i="6"/>
  <c r="H185" i="6"/>
  <c r="F25" i="7" s="1"/>
  <c r="E184" i="6"/>
  <c r="F124" i="6"/>
  <c r="E17" i="7" s="1"/>
  <c r="L122" i="6"/>
  <c r="I10" i="9"/>
  <c r="J10" i="9" s="1"/>
  <c r="H49" i="6"/>
  <c r="G50" i="6" s="1"/>
  <c r="F49" i="6"/>
  <c r="J49" i="6"/>
  <c r="J51" i="6" s="1"/>
  <c r="G8" i="7" s="1"/>
  <c r="I8" i="9" s="1"/>
  <c r="J8" i="9" s="1"/>
  <c r="F106" i="6"/>
  <c r="K106" i="6"/>
  <c r="E99" i="6"/>
  <c r="F99" i="6" s="1"/>
  <c r="F149" i="6"/>
  <c r="K149" i="6"/>
  <c r="H85" i="6"/>
  <c r="F12" i="7" s="1"/>
  <c r="L138" i="6"/>
  <c r="F118" i="6"/>
  <c r="E16" i="7" s="1"/>
  <c r="L116" i="6"/>
  <c r="E14" i="9"/>
  <c r="K14" i="9" s="1"/>
  <c r="L12" i="9"/>
  <c r="J11" i="9"/>
  <c r="K12" i="9"/>
  <c r="H225" i="6"/>
  <c r="F30" i="7" s="1"/>
  <c r="G10" i="9" s="1"/>
  <c r="H10" i="9" s="1"/>
  <c r="E224" i="6"/>
  <c r="F270" i="6"/>
  <c r="L269" i="6"/>
  <c r="K262" i="6"/>
  <c r="F262" i="6"/>
  <c r="L256" i="6"/>
  <c r="F257" i="6"/>
  <c r="L241" i="6"/>
  <c r="F242" i="6"/>
  <c r="L230" i="6"/>
  <c r="F231" i="6"/>
  <c r="H217" i="6"/>
  <c r="F29" i="7" s="1"/>
  <c r="L216" i="6"/>
  <c r="L214" i="6"/>
  <c r="F217" i="6"/>
  <c r="H208" i="6"/>
  <c r="L208" i="6" s="1"/>
  <c r="K208" i="6"/>
  <c r="H209" i="6"/>
  <c r="F28" i="7" s="1"/>
  <c r="L200" i="6"/>
  <c r="H201" i="6"/>
  <c r="F27" i="7" s="1"/>
  <c r="L192" i="6"/>
  <c r="H193" i="6"/>
  <c r="F26" i="7" s="1"/>
  <c r="K174" i="6"/>
  <c r="F174" i="6"/>
  <c r="L174" i="6" s="1"/>
  <c r="K173" i="6"/>
  <c r="F173" i="6"/>
  <c r="L167" i="6"/>
  <c r="H168" i="6"/>
  <c r="L144" i="6"/>
  <c r="F146" i="6"/>
  <c r="E129" i="6"/>
  <c r="L127" i="6"/>
  <c r="L123" i="6"/>
  <c r="H124" i="6"/>
  <c r="H118" i="6"/>
  <c r="L117" i="6"/>
  <c r="L111" i="6"/>
  <c r="H112" i="6"/>
  <c r="F15" i="7" s="1"/>
  <c r="L102" i="6"/>
  <c r="H103" i="6"/>
  <c r="F14" i="7" s="1"/>
  <c r="K100" i="6"/>
  <c r="F100" i="6"/>
  <c r="L100" i="6" s="1"/>
  <c r="L93" i="6"/>
  <c r="H94" i="6"/>
  <c r="F13" i="7" s="1"/>
  <c r="K74" i="6"/>
  <c r="F74" i="6"/>
  <c r="L74" i="6" s="1"/>
  <c r="F76" i="6"/>
  <c r="L68" i="6"/>
  <c r="H69" i="6"/>
  <c r="F10" i="7" s="1"/>
  <c r="F57" i="6"/>
  <c r="L57" i="6" s="1"/>
  <c r="K57" i="6"/>
  <c r="F56" i="6"/>
  <c r="K56" i="6"/>
  <c r="L33" i="6"/>
  <c r="L41" i="6"/>
  <c r="H42" i="6"/>
  <c r="H25" i="6"/>
  <c r="L24" i="6"/>
  <c r="H19" i="6"/>
  <c r="F5" i="7" s="1"/>
  <c r="L18" i="6"/>
  <c r="L9" i="6"/>
  <c r="F10" i="6"/>
  <c r="L106" i="6" l="1"/>
  <c r="E108" i="6"/>
  <c r="E109" i="6"/>
  <c r="E247" i="6"/>
  <c r="L245" i="6"/>
  <c r="L49" i="6"/>
  <c r="L13" i="6"/>
  <c r="E16" i="6"/>
  <c r="E15" i="6"/>
  <c r="E59" i="6"/>
  <c r="H60" i="6"/>
  <c r="F9" i="7" s="1"/>
  <c r="L135" i="6"/>
  <c r="E137" i="6"/>
  <c r="L58" i="6"/>
  <c r="E158" i="6"/>
  <c r="L156" i="6"/>
  <c r="F184" i="6"/>
  <c r="L184" i="6" s="1"/>
  <c r="K184" i="6"/>
  <c r="L45" i="6"/>
  <c r="E47" i="6"/>
  <c r="E48" i="6"/>
  <c r="L63" i="6"/>
  <c r="E66" i="6"/>
  <c r="E65" i="6"/>
  <c r="K99" i="6"/>
  <c r="H50" i="6"/>
  <c r="K50" i="6"/>
  <c r="E222" i="6"/>
  <c r="L220" i="6"/>
  <c r="L204" i="6"/>
  <c r="E206" i="6"/>
  <c r="E161" i="6"/>
  <c r="L159" i="6"/>
  <c r="H162" i="6"/>
  <c r="F22" i="7" s="1"/>
  <c r="L188" i="6"/>
  <c r="E190" i="6"/>
  <c r="L88" i="6"/>
  <c r="E91" i="6"/>
  <c r="E90" i="6"/>
  <c r="G9" i="9"/>
  <c r="H9" i="9" s="1"/>
  <c r="E81" i="6"/>
  <c r="L79" i="6"/>
  <c r="E182" i="6"/>
  <c r="L180" i="6"/>
  <c r="E151" i="6"/>
  <c r="L149" i="6"/>
  <c r="F198" i="6"/>
  <c r="K198" i="6"/>
  <c r="F14" i="9"/>
  <c r="L14" i="9"/>
  <c r="T14" i="9" s="1"/>
  <c r="E29" i="10" s="1"/>
  <c r="E13" i="9"/>
  <c r="K224" i="6"/>
  <c r="F224" i="6"/>
  <c r="L270" i="6"/>
  <c r="E36" i="7"/>
  <c r="F263" i="6"/>
  <c r="L262" i="6"/>
  <c r="J35" i="6"/>
  <c r="E34" i="7"/>
  <c r="L257" i="6"/>
  <c r="L242" i="6"/>
  <c r="E32" i="7"/>
  <c r="L231" i="6"/>
  <c r="E31" i="7"/>
  <c r="L217" i="6"/>
  <c r="E29" i="7"/>
  <c r="F177" i="6"/>
  <c r="L173" i="6"/>
  <c r="L168" i="6"/>
  <c r="F23" i="7"/>
  <c r="L146" i="6"/>
  <c r="E20" i="7"/>
  <c r="K129" i="6"/>
  <c r="F129" i="6"/>
  <c r="L124" i="6"/>
  <c r="F17" i="7"/>
  <c r="L118" i="6"/>
  <c r="F16" i="7"/>
  <c r="F103" i="6"/>
  <c r="L99" i="6"/>
  <c r="L76" i="6"/>
  <c r="E11" i="7"/>
  <c r="L56" i="6"/>
  <c r="F7" i="7"/>
  <c r="L25" i="6"/>
  <c r="F6" i="7"/>
  <c r="E4" i="7"/>
  <c r="L10" i="6"/>
  <c r="F66" i="6" l="1"/>
  <c r="L66" i="6" s="1"/>
  <c r="K66" i="6"/>
  <c r="K59" i="6"/>
  <c r="F59" i="6"/>
  <c r="H4" i="7"/>
  <c r="H23" i="7"/>
  <c r="F16" i="6"/>
  <c r="L16" i="6" s="1"/>
  <c r="K16" i="6"/>
  <c r="F48" i="6"/>
  <c r="L48" i="6" s="1"/>
  <c r="K48" i="6"/>
  <c r="F182" i="6"/>
  <c r="K182" i="6"/>
  <c r="F81" i="6"/>
  <c r="K81" i="6"/>
  <c r="H16" i="7"/>
  <c r="K190" i="6"/>
  <c r="F190" i="6"/>
  <c r="F206" i="6"/>
  <c r="K206" i="6"/>
  <c r="F222" i="6"/>
  <c r="L222" i="6" s="1"/>
  <c r="K222" i="6"/>
  <c r="H6" i="7"/>
  <c r="F47" i="6"/>
  <c r="K47" i="6"/>
  <c r="F108" i="6"/>
  <c r="K108" i="6"/>
  <c r="H32" i="7"/>
  <c r="H17" i="7"/>
  <c r="K158" i="6"/>
  <c r="F158" i="6"/>
  <c r="F65" i="6"/>
  <c r="K65" i="6"/>
  <c r="F247" i="6"/>
  <c r="K247" i="6"/>
  <c r="F109" i="6"/>
  <c r="L109" i="6" s="1"/>
  <c r="K109" i="6"/>
  <c r="F90" i="6"/>
  <c r="K90" i="6"/>
  <c r="H51" i="6"/>
  <c r="F8" i="7" s="1"/>
  <c r="L50" i="6"/>
  <c r="K137" i="6"/>
  <c r="F137" i="6"/>
  <c r="F151" i="6"/>
  <c r="K151" i="6"/>
  <c r="K15" i="6"/>
  <c r="F15" i="6"/>
  <c r="K91" i="6"/>
  <c r="F91" i="6"/>
  <c r="L91" i="6" s="1"/>
  <c r="H29" i="7"/>
  <c r="H31" i="7"/>
  <c r="F161" i="6"/>
  <c r="L161" i="6" s="1"/>
  <c r="K161" i="6"/>
  <c r="H11" i="7"/>
  <c r="H20" i="7"/>
  <c r="L198" i="6"/>
  <c r="F201" i="6"/>
  <c r="K13" i="9"/>
  <c r="F13" i="9"/>
  <c r="L13" i="9" s="1"/>
  <c r="F225" i="6"/>
  <c r="L224" i="6"/>
  <c r="H36" i="7"/>
  <c r="E36" i="6"/>
  <c r="L263" i="6"/>
  <c r="E35" i="7"/>
  <c r="J42" i="6"/>
  <c r="G7" i="7" s="1"/>
  <c r="I7" i="9" s="1"/>
  <c r="J7" i="9" s="1"/>
  <c r="I6" i="9" s="1"/>
  <c r="J6" i="9" s="1"/>
  <c r="I5" i="9" s="1"/>
  <c r="J5" i="9" s="1"/>
  <c r="J25" i="9" s="1"/>
  <c r="H34" i="7"/>
  <c r="E31" i="6"/>
  <c r="L177" i="6"/>
  <c r="E24" i="7"/>
  <c r="H24" i="7" s="1"/>
  <c r="F132" i="6"/>
  <c r="L129" i="6"/>
  <c r="L103" i="6"/>
  <c r="E14" i="7"/>
  <c r="F51" i="6" l="1"/>
  <c r="L47" i="6"/>
  <c r="E11" i="10"/>
  <c r="F69" i="6"/>
  <c r="L65" i="6"/>
  <c r="L108" i="6"/>
  <c r="F112" i="6"/>
  <c r="F85" i="6"/>
  <c r="L81" i="6"/>
  <c r="L247" i="6"/>
  <c r="F250" i="6"/>
  <c r="L158" i="6"/>
  <c r="F162" i="6"/>
  <c r="F94" i="6"/>
  <c r="L90" i="6"/>
  <c r="L182" i="6"/>
  <c r="F185" i="6"/>
  <c r="L206" i="6"/>
  <c r="F209" i="6"/>
  <c r="F153" i="6"/>
  <c r="L151" i="6"/>
  <c r="F193" i="6"/>
  <c r="L190" i="6"/>
  <c r="L59" i="6"/>
  <c r="F60" i="6"/>
  <c r="E27" i="7"/>
  <c r="L201" i="6"/>
  <c r="F139" i="6"/>
  <c r="L137" i="6"/>
  <c r="H14" i="7"/>
  <c r="L15" i="6"/>
  <c r="F19" i="6"/>
  <c r="E30" i="7"/>
  <c r="L225" i="6"/>
  <c r="F36" i="6"/>
  <c r="L36" i="6" s="1"/>
  <c r="K36" i="6"/>
  <c r="H35" i="7"/>
  <c r="E35" i="6"/>
  <c r="F31" i="6"/>
  <c r="L31" i="6" s="1"/>
  <c r="K31" i="6"/>
  <c r="E18" i="7"/>
  <c r="L132" i="6"/>
  <c r="L112" i="6" l="1"/>
  <c r="E15" i="7"/>
  <c r="L185" i="6"/>
  <c r="E25" i="7"/>
  <c r="L85" i="6"/>
  <c r="E12" i="7"/>
  <c r="L69" i="6"/>
  <c r="E10" i="7"/>
  <c r="L209" i="6"/>
  <c r="E28" i="7"/>
  <c r="H30" i="7"/>
  <c r="E5" i="7"/>
  <c r="L19" i="6"/>
  <c r="H27" i="7"/>
  <c r="L153" i="6"/>
  <c r="E21" i="7"/>
  <c r="L250" i="6"/>
  <c r="E33" i="7"/>
  <c r="E19" i="7"/>
  <c r="L139" i="6"/>
  <c r="G8" i="9"/>
  <c r="H8" i="9" s="1"/>
  <c r="E13" i="7"/>
  <c r="L94" i="6"/>
  <c r="E22" i="7"/>
  <c r="L162" i="6"/>
  <c r="L60" i="6"/>
  <c r="E9" i="7"/>
  <c r="L51" i="6"/>
  <c r="E8" i="7"/>
  <c r="H18" i="7"/>
  <c r="E26" i="7"/>
  <c r="L193" i="6"/>
  <c r="G7" i="9"/>
  <c r="H7" i="9" s="1"/>
  <c r="K35" i="6"/>
  <c r="F35" i="6"/>
  <c r="H22" i="7" l="1"/>
  <c r="H5" i="7"/>
  <c r="H10" i="7"/>
  <c r="H13" i="7"/>
  <c r="H28" i="7"/>
  <c r="H26" i="7"/>
  <c r="H12" i="7"/>
  <c r="H8" i="7"/>
  <c r="H21" i="7"/>
  <c r="H15" i="7"/>
  <c r="G6" i="9"/>
  <c r="H6" i="9" s="1"/>
  <c r="G5" i="9" s="1"/>
  <c r="H5" i="9" s="1"/>
  <c r="H19" i="7"/>
  <c r="H33" i="7"/>
  <c r="E30" i="6"/>
  <c r="H25" i="7"/>
  <c r="H9" i="7"/>
  <c r="F11" i="9"/>
  <c r="L11" i="9" s="1"/>
  <c r="T11" i="9" s="1"/>
  <c r="E27" i="10" s="1"/>
  <c r="K11" i="9"/>
  <c r="L35" i="6"/>
  <c r="E10" i="9" l="1"/>
  <c r="E8" i="10"/>
  <c r="H25" i="9"/>
  <c r="F30" i="6"/>
  <c r="K30" i="6"/>
  <c r="F10" i="9" l="1"/>
  <c r="L10" i="9" s="1"/>
  <c r="K10" i="9"/>
  <c r="E14" i="10"/>
  <c r="E18" i="10" s="1"/>
  <c r="E16" i="10"/>
  <c r="E9" i="10"/>
  <c r="E10" i="10" s="1"/>
  <c r="E15" i="10"/>
  <c r="E9" i="9"/>
  <c r="L30" i="6"/>
  <c r="F42" i="6"/>
  <c r="E8" i="9"/>
  <c r="F8" i="9" l="1"/>
  <c r="L8" i="9" s="1"/>
  <c r="K8" i="9"/>
  <c r="F9" i="9"/>
  <c r="L9" i="9" s="1"/>
  <c r="K9" i="9"/>
  <c r="L42" i="6"/>
  <c r="E7" i="7"/>
  <c r="E13" i="10"/>
  <c r="E12" i="10"/>
  <c r="H7" i="7" l="1"/>
  <c r="E7" i="9" l="1"/>
  <c r="F7" i="9" l="1"/>
  <c r="K7" i="9"/>
  <c r="L7" i="9" l="1"/>
  <c r="E6" i="9"/>
  <c r="F6" i="9" l="1"/>
  <c r="K6" i="9"/>
  <c r="E5" i="9" l="1"/>
  <c r="L6" i="9"/>
  <c r="K5" i="9" l="1"/>
  <c r="F5" i="9"/>
  <c r="F25" i="9" l="1"/>
  <c r="L5" i="9"/>
  <c r="L25" i="9" s="1"/>
  <c r="E4" i="10"/>
  <c r="E7" i="10" s="1"/>
  <c r="E19" i="10" l="1"/>
  <c r="E17" i="10"/>
  <c r="E20" i="10" s="1"/>
  <c r="E21" i="10"/>
  <c r="E22" i="10" l="1"/>
  <c r="E23" i="10" s="1"/>
  <c r="E24" i="10" l="1"/>
  <c r="E25" i="10" l="1"/>
  <c r="E26" i="10"/>
  <c r="E28" i="10" s="1"/>
  <c r="E30" i="10" s="1"/>
  <c r="F2" i="10" s="1"/>
</calcChain>
</file>

<file path=xl/sharedStrings.xml><?xml version="1.0" encoding="utf-8"?>
<sst xmlns="http://schemas.openxmlformats.org/spreadsheetml/2006/main" count="6432" uniqueCount="1036">
  <si>
    <t>공 종 별 집 계 표</t>
  </si>
  <si>
    <t>[ SDV보안평가지원센터통신공사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</si>
  <si>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</si>
  <si>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</si>
  <si>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</si>
  <si>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</si>
  <si>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</si>
  <si>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</si>
  <si>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</si>
  <si>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</si>
  <si>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</si>
  <si>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</si>
  <si>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</si>
  <si>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</si>
  <si>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</si>
  <si>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</si>
  <si>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</si>
  <si>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</si>
  <si>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</si>
  <si>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</si>
  <si>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</si>
  <si>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</si>
  <si>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</si>
  <si>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</si>
  <si>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</si>
  <si>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</si>
  <si>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</si>
  <si>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</si>
  <si>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</si>
  <si>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</si>
  <si>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</si>
  <si>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</si>
  <si>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</si>
  <si>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</si>
  <si>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</si>
  <si>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</si>
  <si>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</si>
  <si>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</si>
  <si>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</si>
  <si>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</si>
  <si>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</si>
  <si>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</si>
  <si>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</si>
  <si>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</si>
  <si>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</si>
  <si>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</si>
  <si>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</si>
  <si>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</si>
  <si>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</si>
  <si>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</si>
  <si>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</si>
  <si>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</si>
  <si>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</si>
  <si>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통신공사</t>
  </si>
  <si>
    <t>0101</t>
  </si>
  <si>
    <t>010101</t>
  </si>
  <si>
    <t>관로구방수</t>
  </si>
  <si>
    <t>ø65, 3개설치</t>
  </si>
  <si>
    <t>3개</t>
  </si>
  <si>
    <t>호표 1</t>
  </si>
  <si>
    <t>44CA6E94702E897707835FDA4E31A</t>
  </si>
  <si>
    <t>T</t>
  </si>
  <si>
    <t>F</t>
  </si>
  <si>
    <t>01010144CA6E94702E897707835FDA4E31A</t>
  </si>
  <si>
    <t>경질비닐전선관</t>
  </si>
  <si>
    <t>54mm, 매입</t>
  </si>
  <si>
    <t>m</t>
  </si>
  <si>
    <t>호표 2</t>
  </si>
  <si>
    <t>44CA6E9BA1268133FBA757370969C</t>
  </si>
  <si>
    <t>01010144CA6E9BA1268133FBA757370969C</t>
  </si>
  <si>
    <t>풀박스</t>
  </si>
  <si>
    <t>150X150X100mm, 매입, 천정</t>
  </si>
  <si>
    <t>개</t>
  </si>
  <si>
    <t>호표 3</t>
  </si>
  <si>
    <t>44CA6E96212188D448405D6BC5EA8</t>
  </si>
  <si>
    <t>01010144CA6E96212188D448405D6BC5EA8</t>
  </si>
  <si>
    <t>핸드홀(수공1호)</t>
  </si>
  <si>
    <t>950*450*700</t>
  </si>
  <si>
    <t>조</t>
  </si>
  <si>
    <t>호표 4</t>
  </si>
  <si>
    <t>44CB66564623873A93E458B04DE63</t>
  </si>
  <si>
    <t>01010144CB66564623873A93E458B04DE63</t>
  </si>
  <si>
    <t>[ 합           계 ]</t>
  </si>
  <si>
    <t>TOTAL</t>
  </si>
  <si>
    <t>010102</t>
  </si>
  <si>
    <t>박스커버</t>
  </si>
  <si>
    <t>4각, 둥근구멍, 평</t>
  </si>
  <si>
    <t>42B16FD2C12082490BC85D3F3B75D945456CF</t>
  </si>
  <si>
    <t>01010242B16FD2C12082490BC85D3F3B75D945456CF</t>
  </si>
  <si>
    <t>28mm, 노출</t>
  </si>
  <si>
    <t>호표 5</t>
  </si>
  <si>
    <t>44CA6E9BA12682DFA69D57AFC7831</t>
  </si>
  <si>
    <t>01010244CA6E9BA12682DFA69D57AFC7831</t>
  </si>
  <si>
    <t>박스커넥터(비방수)</t>
  </si>
  <si>
    <t>1종금속제가요전선관, 16mm</t>
  </si>
  <si>
    <t>42B16FD2C0278DA1CDD85DC57355A4C3E9FC0</t>
  </si>
  <si>
    <t>01010242B16FD2C0278DA1CDD85DC57355A4C3E9FC0</t>
  </si>
  <si>
    <t>42mm, 노출</t>
  </si>
  <si>
    <t>호표 6</t>
  </si>
  <si>
    <t>44CA6E9BA1268011536057AF8242A</t>
  </si>
  <si>
    <t>01010244CA6E9BA1268011536057AF8242A</t>
  </si>
  <si>
    <t>1종금속제가요전선관</t>
  </si>
  <si>
    <t>16mm 비방수, 노출</t>
  </si>
  <si>
    <t>호표 7</t>
  </si>
  <si>
    <t>44CA6E9BA0258D98F7D35A945350F</t>
  </si>
  <si>
    <t>01010244CA6E9BA0258D98F7D35A945350F</t>
  </si>
  <si>
    <t>통신용케이블</t>
  </si>
  <si>
    <t>UTP Cat.6 4P * 6</t>
  </si>
  <si>
    <t>호표 8</t>
  </si>
  <si>
    <t>44CA6915CA2582A72B0F5690EE172</t>
  </si>
  <si>
    <t>01010244CA6915CA2582A72B0F5690EE172</t>
  </si>
  <si>
    <t>광케이블</t>
  </si>
  <si>
    <t>F/O 12C</t>
  </si>
  <si>
    <t>호표 9</t>
  </si>
  <si>
    <t>44CA6915CB278E33CF5C51C9046C4</t>
  </si>
  <si>
    <t>01010244CA6915CB278E33CF5C51C9046C4</t>
  </si>
  <si>
    <t>합성수지제 가요전선관</t>
  </si>
  <si>
    <t>하이렉스-CD, 16mm, 매입</t>
  </si>
  <si>
    <t>호표 10</t>
  </si>
  <si>
    <t>44CA6E9BA62E8A6413E358A52718E</t>
  </si>
  <si>
    <t>01010244CA6E9BA62E8A6413E358A52718E</t>
  </si>
  <si>
    <t>하이렉스-CD, 22mm, 매입</t>
  </si>
  <si>
    <t>호표 11</t>
  </si>
  <si>
    <t>44CA6E9BA62E8B02BEB455E61F593</t>
  </si>
  <si>
    <t>01010244CA6E9BA62E8B02BEB455E61F593</t>
  </si>
  <si>
    <t>하이렉스-CD, 28mm, 매입</t>
  </si>
  <si>
    <t>호표 12</t>
  </si>
  <si>
    <t>44CA6E9BA62E8C2948FE5D4E73B75</t>
  </si>
  <si>
    <t>01010244CA6E9BA62E8C2948FE5D4E73B75</t>
  </si>
  <si>
    <t>스위치박스</t>
  </si>
  <si>
    <t>ST, 1개용 54mm</t>
  </si>
  <si>
    <t>호표 13</t>
  </si>
  <si>
    <t>44CA6E91BC2280F88FFF57A8C5676</t>
  </si>
  <si>
    <t>01010244CA6E91BC2280F88FFF57A8C5676</t>
  </si>
  <si>
    <t>아우트렛박스</t>
  </si>
  <si>
    <t>4각 54mm</t>
  </si>
  <si>
    <t>호표 14</t>
  </si>
  <si>
    <t>44CA6E91BC228603426850C653A77</t>
  </si>
  <si>
    <t>01010244CA6E91BC228603426850C653A77</t>
  </si>
  <si>
    <t>UTP 케이블(구내)</t>
  </si>
  <si>
    <t>UTP Cat.5e 25P * 2</t>
  </si>
  <si>
    <t>호표 15</t>
  </si>
  <si>
    <t>44CA6915CA25857AE3C253D97E663</t>
  </si>
  <si>
    <t>01010244CA6915CA25857AE3C253D97E663</t>
  </si>
  <si>
    <t>UTP Cat.6 4P * 1</t>
  </si>
  <si>
    <t>호표 16</t>
  </si>
  <si>
    <t>44CA6915CA2582A72B0C5948857CE</t>
  </si>
  <si>
    <t>01010244CA6915CA2582A72B0C5948857CE</t>
  </si>
  <si>
    <t>UTP Cat.6 4P * 2</t>
  </si>
  <si>
    <t>호표 17</t>
  </si>
  <si>
    <t>44CA6915CA2582A72B0D5BB92205E</t>
  </si>
  <si>
    <t>01010244CA6915CA2582A72B0D5BB92205E</t>
  </si>
  <si>
    <t>UTP Cat.6 4P * 4</t>
  </si>
  <si>
    <t>호표 18</t>
  </si>
  <si>
    <t>44CA6915CA2582A72B0F5690EE174</t>
  </si>
  <si>
    <t>01010244CA6915CA2582A72B0F5690EE174</t>
  </si>
  <si>
    <t>F/O 4C (SMF)</t>
  </si>
  <si>
    <t>호표 19</t>
  </si>
  <si>
    <t>44CA6915CB278E33CF5C51C9046C2</t>
  </si>
  <si>
    <t>01010244CA6915CB278E33CF5C51C9046C2</t>
  </si>
  <si>
    <t>모듈러잭</t>
  </si>
  <si>
    <t>2구용</t>
  </si>
  <si>
    <t>호표 20</t>
  </si>
  <si>
    <t>44CA683F27268EDCD3C7573D1E4BD</t>
  </si>
  <si>
    <t>01010244CA683F27268EDCD3C7573D1E4BD</t>
  </si>
  <si>
    <t>호표 21</t>
  </si>
  <si>
    <t>44CA6E9BA62E8B0720D652D06D68A</t>
  </si>
  <si>
    <t>010104</t>
  </si>
  <si>
    <t>제어케이블</t>
  </si>
  <si>
    <t>TFR-CVV, 3CX1.5㎟</t>
  </si>
  <si>
    <t>호표 22</t>
  </si>
  <si>
    <t>44CA69127A2381313A685CAFDBD1B</t>
  </si>
  <si>
    <t>01010444CA69127A2381313A685CAFDBD1B</t>
  </si>
  <si>
    <t>01010444CA6E9BA62E8A6413E358A52718E</t>
  </si>
  <si>
    <t>01010444CA6E9BA62E8B02BEB455E61F593</t>
  </si>
  <si>
    <t>01010444CA6E9BA62E8C2948FE5D4E73B75</t>
  </si>
  <si>
    <t>전력케이블</t>
  </si>
  <si>
    <t>F-CV, 0.6/1kV, 3C 2.5㎟</t>
  </si>
  <si>
    <t>호표 23</t>
  </si>
  <si>
    <t>44CA691D0220871BF4C351320AC05</t>
  </si>
  <si>
    <t>01010444CA691D0220871BF4C351320AC05</t>
  </si>
  <si>
    <t>HDMI 케이블</t>
  </si>
  <si>
    <t>HDMI CABLE</t>
  </si>
  <si>
    <t>호표 24</t>
  </si>
  <si>
    <t>44CA6912702C8A6A4F5C5CC633084</t>
  </si>
  <si>
    <t>01010444CA6912702C8A6A4F5C5CC633084</t>
  </si>
  <si>
    <t>스피커케이블</t>
  </si>
  <si>
    <t>SW-2300</t>
  </si>
  <si>
    <t>호표 25</t>
  </si>
  <si>
    <t>44CA6912702C8A6B55A7519E5DCA6</t>
  </si>
  <si>
    <t>01010444CA6912702C8A6B55A7519E5DCA6</t>
  </si>
  <si>
    <t>마이크케이블</t>
  </si>
  <si>
    <t>MW-3300</t>
  </si>
  <si>
    <t>호표 26</t>
  </si>
  <si>
    <t>44CA6912702C8A6B55A7519E5DCA1</t>
  </si>
  <si>
    <t>01010444CA6912702C8A6B55A7519E5DCA1</t>
  </si>
  <si>
    <t>010105</t>
  </si>
  <si>
    <t>Joint connector</t>
  </si>
  <si>
    <t>아연도, 100×t2.3mm</t>
  </si>
  <si>
    <t>42B16FD2C0278DA1CDDB5912535B750F67F53</t>
  </si>
  <si>
    <t>01010542B16FD2C0278DA1CDDB5912535B750F67F53</t>
  </si>
  <si>
    <t>절연전선</t>
  </si>
  <si>
    <t>F-GV, 16㎟, 직매포설</t>
  </si>
  <si>
    <t>호표 27</t>
  </si>
  <si>
    <t>44CA6A7CA42589B5BF31521038424</t>
  </si>
  <si>
    <t>01010544CA6A7CA42589B5BF31521038424</t>
  </si>
  <si>
    <t>Shank bolt and nut</t>
  </si>
  <si>
    <t>아연도</t>
  </si>
  <si>
    <t>42B16FD2C0278DA1CDDB5912535B750F67C87</t>
  </si>
  <si>
    <t>01010542B16FD2C0278DA1CDDB5912535B750F67C87</t>
  </si>
  <si>
    <t>Bonding jumper</t>
  </si>
  <si>
    <t>22㎟</t>
  </si>
  <si>
    <t>42B16FD2C0278DA1CDDB5912535B750F67C84</t>
  </si>
  <si>
    <t>01010542B16FD2C0278DA1CDDB5912535B750F67C84</t>
  </si>
  <si>
    <t>하이텍케이블트레이</t>
  </si>
  <si>
    <t>분체도장, W300×100H×1.0t</t>
  </si>
  <si>
    <t>호표 28</t>
  </si>
  <si>
    <t>44CA6E9D532B8CE3E3DE5E4D36B0C</t>
  </si>
  <si>
    <t>01010544CA6E9D532B8CE3E3DE5E4D36B0C</t>
  </si>
  <si>
    <t>케이블트레이지지대(수직)</t>
  </si>
  <si>
    <t>W300</t>
  </si>
  <si>
    <t>개소</t>
  </si>
  <si>
    <t>호표 29</t>
  </si>
  <si>
    <t>44CA6E951F2A893FBACB52F1AD345</t>
  </si>
  <si>
    <t>01010544CA6E951F2A893FBACB52F1AD345</t>
  </si>
  <si>
    <t>0102</t>
  </si>
  <si>
    <t>3</t>
  </si>
  <si>
    <t>010201</t>
  </si>
  <si>
    <t>통합배선설비 시스템</t>
  </si>
  <si>
    <t>식</t>
  </si>
  <si>
    <t>42DC66DE992A8398997E54359DC969E90C712</t>
  </si>
  <si>
    <t>01020142DC66DE992A8398997E54359DC969E90C712</t>
  </si>
  <si>
    <t>조달수수료</t>
  </si>
  <si>
    <t>2천만원초과 5천만원까지</t>
  </si>
  <si>
    <t>44816A3989288629444258D0243001</t>
  </si>
  <si>
    <t>01020144816A3989288629444258D0243001</t>
  </si>
  <si>
    <t>AV설비 시스템</t>
  </si>
  <si>
    <t>42DC66DE992A8398997E54359DC969E90C713</t>
  </si>
  <si>
    <t>0103</t>
  </si>
  <si>
    <t>재해예방기술지도 수수료</t>
  </si>
  <si>
    <t>010301</t>
  </si>
  <si>
    <t>6</t>
  </si>
  <si>
    <t>442A67B388208AFF18795BD7EEF77EC10163D</t>
  </si>
  <si>
    <t>010301442A67B388208AFF18795BD7EEF77EC10163D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</si>
  <si>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</si>
  <si>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</si>
  <si>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</si>
  <si>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</si>
  <si>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</si>
  <si>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</si>
  <si>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</si>
  <si>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</si>
  <si>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</si>
  <si>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</si>
  <si>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</si>
  <si>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</si>
  <si>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</si>
  <si>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</si>
  <si>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</si>
  <si>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</si>
  <si>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</si>
  <si>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</si>
  <si>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</si>
  <si>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</si>
  <si>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</si>
  <si>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관로구방수  ø65, 3개설치  3개     ( 호표 1 )</t>
  </si>
  <si>
    <t>전선관피팅</t>
  </si>
  <si>
    <t>관구밀폐기, 실링가스켓, D65</t>
  </si>
  <si>
    <t>42B16FD2C0278DA1CDD651386907E517F0D1C</t>
  </si>
  <si>
    <t>44CA6E94702E897707835FDA4E31A42B16FD2C0278DA1CDD651386907E517F0D1C</t>
  </si>
  <si>
    <t>관구밀폐기, 이종연결관, Φ65mm</t>
  </si>
  <si>
    <t>42B16FD2C0278DA1CDD651386984C5D0DC51C</t>
  </si>
  <si>
    <t>44CA6E94702E897707835FDA4E31A42B16FD2C0278DA1CDD651386984C5D0DC51C</t>
  </si>
  <si>
    <t>통신용발포지수제</t>
  </si>
  <si>
    <t>통신용발포지수제, 발포지수재, D100이하</t>
  </si>
  <si>
    <t>42B16FD2C120824902EA5824073318EF11223</t>
  </si>
  <si>
    <t>44CA6E94702E897707835FDA4E31A42B16FD2C120824902EA5824073318EF11223</t>
  </si>
  <si>
    <t>통신용발포지수제, 수밀보호테이프</t>
  </si>
  <si>
    <t>42B16FD2C120824902EA582407EDFDC43D491</t>
  </si>
  <si>
    <t>44CA6E94702E897707835FDA4E31A42B16FD2C120824902EA582407EDFDC43D491</t>
  </si>
  <si>
    <t>공구손료</t>
  </si>
  <si>
    <t>노무비의 3%</t>
  </si>
  <si>
    <t>44CA6E94702E897707835FDA4E31A44816A3989288629444258D0246004</t>
  </si>
  <si>
    <t xml:space="preserve"> [ 합          계 ]</t>
  </si>
  <si>
    <t>경질비닐전선관  54mm, 매입  m     ( 호표 2 )</t>
  </si>
  <si>
    <t>HI, 54mm</t>
  </si>
  <si>
    <t>42B16FD2C0278DA1CDD85DF2B93F51917CF2D</t>
  </si>
  <si>
    <t>44CA6E9BA1268133FBA757370969C42B16FD2C0278DA1CDD85DF2B93F51917CF2D</t>
  </si>
  <si>
    <t>전선관부속품</t>
  </si>
  <si>
    <t>전선관의 20%</t>
  </si>
  <si>
    <t>44CA6E9BA1268133FBA757370969C44816A3989288629444258D0240002</t>
  </si>
  <si>
    <t>소모잡자재</t>
  </si>
  <si>
    <t>배관,배선의 2%</t>
  </si>
  <si>
    <t>44816A3989288629444258D0240002</t>
  </si>
  <si>
    <t>44CA6E9BA1268133FBA757370969C44816A3989288629444258D0241003</t>
  </si>
  <si>
    <t>통신내선공</t>
  </si>
  <si>
    <t>일반공사 직종</t>
  </si>
  <si>
    <t>인</t>
  </si>
  <si>
    <t>45426BEB79238CEA0F025211313A07CF37352</t>
  </si>
  <si>
    <t>44CA6E9BA1268133FBA757370969C45426BEB79238CEA0F025211313A07CF37352</t>
  </si>
  <si>
    <t>44816A3989288629444258D0241003</t>
  </si>
  <si>
    <t>44CA6E9BA1268133FBA757370969C44816A3989288629444258D0246004</t>
  </si>
  <si>
    <t>풀박스  150X150X100mm, 매입, 천정  개     ( 호표 3 )</t>
  </si>
  <si>
    <t>전기함</t>
  </si>
  <si>
    <t>풀박스, HS-2004, 150×150×100mm</t>
  </si>
  <si>
    <t>42B16FD2C12082490BC3551FACAE8319917A1</t>
  </si>
  <si>
    <t>44CA6E96212188D448405D6BC5EA842B16FD2C12082490BC3551FACAE8319917A1</t>
  </si>
  <si>
    <t>44CA6E96212188D448405D6BC5EA845426BEB79238CEA0F025211313A07CF37352</t>
  </si>
  <si>
    <t>44CA6E96212188D448405D6BC5EA844816A3989288629444258D0243001</t>
  </si>
  <si>
    <t>핸드홀(수공1호)  950*450*700  조     ( 호표 4 )</t>
  </si>
  <si>
    <t>맨홀보조물</t>
  </si>
  <si>
    <t>맨홀보조물, 핸드홀, 수공1호</t>
  </si>
  <si>
    <t>42B166F744248FAF1A5F5C5D3222090FA0298</t>
  </si>
  <si>
    <t>44CB66564623873A93E458B04DE6342B166F744248FAF1A5F5C5D3222090FA0298</t>
  </si>
  <si>
    <t>맨홀보조물, 핸드홀카바, 주철각형, 1120×620×132mm, 송배전용(일반규격)</t>
  </si>
  <si>
    <t>42B166F744248FAF1A5F5C5D3222090FA029D</t>
  </si>
  <si>
    <t>44CB66564623873A93E458B04DE6342B166F744248FAF1A5F5C5D3222090FA029D</t>
  </si>
  <si>
    <t>F-GV, 35㎟, 직매포설</t>
  </si>
  <si>
    <t>호표 30</t>
  </si>
  <si>
    <t>44CA6A7CA4258B7AD6C15D5A87E56</t>
  </si>
  <si>
    <t>44CB66564623873A93E458B04DE6344CA6A7CA4258B7AD6C15D5A87E56</t>
  </si>
  <si>
    <t>접지봉</t>
  </si>
  <si>
    <t>14Φ×1000mm</t>
  </si>
  <si>
    <t>호표 31</t>
  </si>
  <si>
    <t>45D7677332228133BFA8529F1A6FB</t>
  </si>
  <si>
    <t>44CB66564623873A93E458B04DE6345D7677332228133BFA8529F1A6FB</t>
  </si>
  <si>
    <t>터파기/육상토사</t>
  </si>
  <si>
    <t>0-2m 인력30%</t>
  </si>
  <si>
    <t>m3</t>
  </si>
  <si>
    <t>실적단가</t>
  </si>
  <si>
    <t>45B26EA5A4238FBD9A775E1B6A036</t>
  </si>
  <si>
    <t>44CB66564623873A93E458B04DE6345B26EA5A4238FBD9A775E1B6A036</t>
  </si>
  <si>
    <t>되메우기/토사(인력30%)</t>
  </si>
  <si>
    <t>다짐</t>
  </si>
  <si>
    <t>45B26EA878298CCF2C1154746AC61</t>
  </si>
  <si>
    <t>44CB66564623873A93E458B04DE6345B26EA878298CCF2C1154746AC61</t>
  </si>
  <si>
    <t>잔토처리</t>
  </si>
  <si>
    <t>토사</t>
  </si>
  <si>
    <t>45B26EA6482D84C8363D561264AFF</t>
  </si>
  <si>
    <t>44CB66564623873A93E458B04DE6345B26EA6482D84C8363D561264AFF</t>
  </si>
  <si>
    <t>잡석깔기지정</t>
  </si>
  <si>
    <t>떨공이다지기</t>
  </si>
  <si>
    <t>㎥</t>
  </si>
  <si>
    <t>호표 32</t>
  </si>
  <si>
    <t>459D6EBEFD2987A58F7B534F5FE67</t>
  </si>
  <si>
    <t>44CB66564623873A93E458B04DE63459D6EBEFD2987A58F7B534F5FE67</t>
  </si>
  <si>
    <t>트럭탑재형 크레인</t>
  </si>
  <si>
    <t>10 ton</t>
  </si>
  <si>
    <t>HR</t>
  </si>
  <si>
    <t>호표 33</t>
  </si>
  <si>
    <t>42846218E725856FE1E05420A759ABD6DCE2A0E</t>
  </si>
  <si>
    <t>44CB66564623873A93E458B04DE6342846218E725856FE1E05420A759ABD6DCE2A0E</t>
  </si>
  <si>
    <t>특별인부</t>
  </si>
  <si>
    <t>전기4-43-3</t>
  </si>
  <si>
    <t>45426BEB79238CEA0F025211313A07CF37BA9</t>
  </si>
  <si>
    <t>44CB66564623873A93E458B04DE6345426BEB79238CEA0F025211313A07CF37BA9</t>
  </si>
  <si>
    <t>비계공</t>
  </si>
  <si>
    <t>45426BEB79238CEA0F025211313A07CF37BAC</t>
  </si>
  <si>
    <t>44CB66564623873A93E458B04DE6345426BEB79238CEA0F025211313A07CF37BAC</t>
  </si>
  <si>
    <t>작업반장</t>
  </si>
  <si>
    <t>45426BEB79238CEA0F025211313A07CF37BAB</t>
  </si>
  <si>
    <t>44CB66564623873A93E458B04DE6345426BEB79238CEA0F025211313A07CF37BAB</t>
  </si>
  <si>
    <t>줄눈공</t>
  </si>
  <si>
    <t>45426BEB79238CEA0F025211313A07CF378D2</t>
  </si>
  <si>
    <t>44CB66564623873A93E458B04DE6345426BEB79238CEA0F025211313A07CF378D2</t>
  </si>
  <si>
    <t>44CB66564623873A93E458B04DE6344816A3989288629444258D0243001</t>
  </si>
  <si>
    <t>경질비닐전선관  28mm, 노출  m     ( 호표 5 )</t>
  </si>
  <si>
    <t>HI, 28mm</t>
  </si>
  <si>
    <t>42B16FD2C0278DA1CDD85DF2B93F51917CE01</t>
  </si>
  <si>
    <t>44CA6E9BA12682DFA69D57AFC783142B16FD2C0278DA1CDD85DF2B93F51917CE01</t>
  </si>
  <si>
    <t>44CA6E9BA12682DFA69D57AFC783144816A3989288629444258D0240002</t>
  </si>
  <si>
    <t>44CA6E9BA12682DFA69D57AFC783144816A3989288629444258D0243001</t>
  </si>
  <si>
    <t>44CA6E9BA12682DFA69D57AFC783145426BEB79238CEA0F025211313A07CF37352</t>
  </si>
  <si>
    <t>44CA6E9BA12682DFA69D57AFC783144816A3989288629444258D0241003</t>
  </si>
  <si>
    <t>경질비닐전선관  42mm, 노출  m     ( 호표 6 )</t>
  </si>
  <si>
    <t>HI, 42mm</t>
  </si>
  <si>
    <t>42B16FD2C0278DA1CDD85DF2B93F51917CE0F</t>
  </si>
  <si>
    <t>44CA6E9BA1268011536057AF8242A42B16FD2C0278DA1CDD85DF2B93F51917CE0F</t>
  </si>
  <si>
    <t>44CA6E9BA1268011536057AF8242A44816A3989288629444258D0240002</t>
  </si>
  <si>
    <t>44CA6E9BA1268011536057AF8242A44816A3989288629444258D0243001</t>
  </si>
  <si>
    <t>44CA6E9BA1268011536057AF8242A45426BEB79238CEA0F025211313A07CF37352</t>
  </si>
  <si>
    <t>인력품의 3%</t>
  </si>
  <si>
    <t>44CA6E9BA1268011536057AF8242A44816A3989288629444258D0241003</t>
  </si>
  <si>
    <t>1종금속제가요전선관  16mm 비방수, 노출  m     ( 호표 7 )</t>
  </si>
  <si>
    <t>16mm, 비방수</t>
  </si>
  <si>
    <t>42B16FD2C0278DA1CDD85DC57355A4C3E9D17</t>
  </si>
  <si>
    <t>44CA6E9BA0258D98F7D35A945350F42B16FD2C0278DA1CDD85DC57355A4C3E9D17</t>
  </si>
  <si>
    <t>44CA6E9BA0258D98F7D35A945350F44816A3989288629444258D0240002</t>
  </si>
  <si>
    <t>44CA6E9BA0258D98F7D35A945350F44816A3989288629444258D0241003</t>
  </si>
  <si>
    <t>44CA6E9BA0258D98F7D35A945350F45426BEB79238CEA0F025211313A07CF37352</t>
  </si>
  <si>
    <t>44CA6E9BA0258D98F7D35A945350F44816A3989288629444258D0246004</t>
  </si>
  <si>
    <t>통신용케이블  UTP Cat.6 4P * 6  m     ( 호표 8 )</t>
  </si>
  <si>
    <t>UTP 케이블</t>
  </si>
  <si>
    <t>UTP Cat.6, 4P * 6</t>
  </si>
  <si>
    <t>42A766BD292D8B784AA1558CBB20E4EAEC023</t>
  </si>
  <si>
    <t>44CA6915CA2582A72B0F5690EE17242A766BD292D8B784AA1558CBB20E4EAEC023</t>
  </si>
  <si>
    <t>44CA6915CA2582A72B0F5690EE17244816A3989288629444258D0243001</t>
  </si>
  <si>
    <t>통신케이블공</t>
  </si>
  <si>
    <t>45426BEB79238CEA0F025211313A07CF3735D</t>
  </si>
  <si>
    <t>44CA6915CA2582A72B0F5690EE17245426BEB79238CEA0F025211313A07CF3735D</t>
  </si>
  <si>
    <t>광케이블  F/O 12C  m     ( 호표 9 )</t>
  </si>
  <si>
    <t>F/O 12C (SMF)</t>
  </si>
  <si>
    <t>42A766BD292D8B78498656098540D922D7B56</t>
  </si>
  <si>
    <t>44CA6915CB278E33CF5C51C9046C442A766BD292D8B78498656098540D922D7B56</t>
  </si>
  <si>
    <t>44CA6915CB278E33CF5C51C9046C444816A3989288629444258D0240002</t>
  </si>
  <si>
    <t>보통인부</t>
  </si>
  <si>
    <t>45426BEB79238CEA0F025211313A07CF37BA8</t>
  </si>
  <si>
    <t>44CA6915CB278E33CF5C51C9046C445426BEB79238CEA0F025211313A07CF37BA8</t>
  </si>
  <si>
    <t>통신외선공</t>
  </si>
  <si>
    <t>45426BEB79238CEA0F025211313A07CF3735C</t>
  </si>
  <si>
    <t>44CA6915CB278E33CF5C51C9046C445426BEB79238CEA0F025211313A07CF3735C</t>
  </si>
  <si>
    <t>44CA6915CB278E33CF5C51C9046C444816A3989288629444258D0241003</t>
  </si>
  <si>
    <t>합성수지제 가요전선관  하이렉스-CD, 16mm, 매입  m     ( 호표 10 )</t>
  </si>
  <si>
    <t>전선관</t>
  </si>
  <si>
    <t>합성수지제가요전선관, CD, 16mm</t>
  </si>
  <si>
    <t>42B16FD2C0278DA1CDD85DF2B93F5187E3A3A</t>
  </si>
  <si>
    <t>44CA6E9BA62E8A6413E358A52718E42B16FD2C0278DA1CDD85DF2B93F5187E3A3A</t>
  </si>
  <si>
    <t>전선관의 40%</t>
  </si>
  <si>
    <t>44CA6E9BA62E8A6413E358A52718E44816A3989288629444258D0240002</t>
  </si>
  <si>
    <t>44CA6E9BA62E8A6413E358A52718E44816A3989288629444258D0241003</t>
  </si>
  <si>
    <t>44CA6E9BA62E8A6413E358A52718E45426BEB79238CEA0F025211313A07CF37352</t>
  </si>
  <si>
    <t>44CA6E9BA62E8A6413E358A52718E44816A3989288629444258D0246004</t>
  </si>
  <si>
    <t>합성수지제 가요전선관  하이렉스-CD, 22mm, 매입  m     ( 호표 11 )</t>
  </si>
  <si>
    <t>합성수지제가요전선관, CD, 22mm</t>
  </si>
  <si>
    <t>42B16FD2C0278DA1CDD85DF2B93F5187E3A3B</t>
  </si>
  <si>
    <t>44CA6E9BA62E8B02BEB455E61F59342B16FD2C0278DA1CDD85DF2B93F5187E3A3B</t>
  </si>
  <si>
    <t>44CA6E9BA62E8B02BEB455E61F59344816A3989288629444258D0240002</t>
  </si>
  <si>
    <t>44CA6E9BA62E8B02BEB455E61F59344816A3989288629444258D0241003</t>
  </si>
  <si>
    <t>44CA6E9BA62E8B02BEB455E61F59345426BEB79238CEA0F025211313A07CF37352</t>
  </si>
  <si>
    <t>44CA6E9BA62E8B02BEB455E61F59344816A3989288629444258D0246004</t>
  </si>
  <si>
    <t>합성수지제 가요전선관  하이렉스-CD, 28mm, 매입  m     ( 호표 12 )</t>
  </si>
  <si>
    <t>합성수지제가요전선관, CD, 28mm</t>
  </si>
  <si>
    <t>42B16FD2C0278DA1CDD85DF2B93F5187E3A38</t>
  </si>
  <si>
    <t>44CA6E9BA62E8C2948FE5D4E73B7542B16FD2C0278DA1CDD85DF2B93F5187E3A38</t>
  </si>
  <si>
    <t>44CA6E9BA62E8C2948FE5D4E73B7544816A3989288629444258D0240002</t>
  </si>
  <si>
    <t>44CA6E9BA62E8C2948FE5D4E73B7544816A3989288629444258D0241003</t>
  </si>
  <si>
    <t>44CA6E9BA62E8C2948FE5D4E73B7545426BEB79238CEA0F025211313A07CF37352</t>
  </si>
  <si>
    <t>44CA6E9BA62E8C2948FE5D4E73B7544816A3989288629444258D0246004</t>
  </si>
  <si>
    <t>스위치박스  ST, 1개용 54mm  개     ( 호표 13 )</t>
  </si>
  <si>
    <t>스위치박스, 1개용, 54mm</t>
  </si>
  <si>
    <t>42B16FD2C12082490BC652558A42AC965F7FF</t>
  </si>
  <si>
    <t>44CA6E91BC2280F88FFF57A8C567642B16FD2C12082490BC652558A42AC965F7FF</t>
  </si>
  <si>
    <t>44CA6E91BC2280F88FFF57A8C567645426BEB79238CEA0F025211313A07CF37352</t>
  </si>
  <si>
    <t>44CA6E91BC2280F88FFF57A8C567644816A3989288629444258D0243001</t>
  </si>
  <si>
    <t>아우트렛박스  4각 54mm  개     ( 호표 14 )</t>
  </si>
  <si>
    <t>아웃렛박스</t>
  </si>
  <si>
    <t>아웃렛박스, 중형4각, 54mm</t>
  </si>
  <si>
    <t>42B16FD2C12082490BC85D03F30DFC5DBF17F</t>
  </si>
  <si>
    <t>44CA6E91BC228603426850C653A7742B16FD2C12082490BC85D03F30DFC5DBF17F</t>
  </si>
  <si>
    <t>44CA6E91BC228603426850C653A7745426BEB79238CEA0F025211313A07CF37352</t>
  </si>
  <si>
    <t>44CA6E91BC228603426850C653A7744816A3989288629444258D0243001</t>
  </si>
  <si>
    <t>UTP 케이블(구내)  UTP Cat.5e 25P * 2  m     ( 호표 15 )</t>
  </si>
  <si>
    <t>네트워크케이블</t>
  </si>
  <si>
    <t>UTP케이블, UTP Cat.5e 25P * 2</t>
  </si>
  <si>
    <t>42A766BD292D8B784AA155AF8A697149253F3</t>
  </si>
  <si>
    <t>44CA6915CA25857AE3C253D97E66342A766BD292D8B784AA155AF8A697149253F3</t>
  </si>
  <si>
    <t>44CA6915CA25857AE3C253D97E66344816A3989288629444258D0243001</t>
  </si>
  <si>
    <t>44CA6915CA25857AE3C253D97E66345426BEB79238CEA0F025211313A07CF3735D</t>
  </si>
  <si>
    <t>44CA6915CA25857AE3C253D97E66344816A3989288629444258D0240002</t>
  </si>
  <si>
    <t>통신용케이블  UTP Cat.6 4P * 1  m     ( 호표 16 )</t>
  </si>
  <si>
    <t>UTP Cat.6, 4P</t>
  </si>
  <si>
    <t>42A766BD292D8B784AA1558CBB20E4EAEC3FE</t>
  </si>
  <si>
    <t>44CA6915CA2582A72B0C5948857CE42A766BD292D8B784AA1558CBB20E4EAEC3FE</t>
  </si>
  <si>
    <t>44CA6915CA2582A72B0C5948857CE44816A3989288629444258D0241003</t>
  </si>
  <si>
    <t>44CA6915CA2582A72B0C5948857CE45426BEB79238CEA0F025211313A07CF3735D</t>
  </si>
  <si>
    <t>통신용케이블  UTP Cat.6 4P * 2  m     ( 호표 17 )</t>
  </si>
  <si>
    <t>UTP Cat.6, 4P * 2</t>
  </si>
  <si>
    <t>42A766BD292D8B784AA1558CBB20E4EAEC3FF</t>
  </si>
  <si>
    <t>44CA6915CA2582A72B0D5BB92205E42A766BD292D8B784AA1558CBB20E4EAEC3FF</t>
  </si>
  <si>
    <t>44CA6915CA2582A72B0D5BB92205E44816A3989288629444258D0243001</t>
  </si>
  <si>
    <t>44CA6915CA2582A72B0D5BB92205E45426BEB79238CEA0F025211313A07CF3735D</t>
  </si>
  <si>
    <t>통신용케이블  UTP Cat.6 4P * 4  m     ( 호표 18 )</t>
  </si>
  <si>
    <t>UTP Cat.6, 4P * 4</t>
  </si>
  <si>
    <t>42A766BD292D8B784AA1558CBB20E4EAEC3F1</t>
  </si>
  <si>
    <t>44CA6915CA2582A72B0F5690EE17442A766BD292D8B784AA1558CBB20E4EAEC3F1</t>
  </si>
  <si>
    <t>44CA6915CA2582A72B0F5690EE17444816A3989288629444258D0243001</t>
  </si>
  <si>
    <t>44CA6915CA2582A72B0F5690EE17445426BEB79238CEA0F025211313A07CF3735D</t>
  </si>
  <si>
    <t>광케이블  F/O 4C (SMF)  m     ( 호표 19 )</t>
  </si>
  <si>
    <t>F/O 4C</t>
  </si>
  <si>
    <t>42A766BD292D8B78498656098540D922D7AB8</t>
  </si>
  <si>
    <t>44CA6915CB278E33CF5C51C9046C242A766BD292D8B78498656098540D922D7AB8</t>
  </si>
  <si>
    <t>44CA6915CB278E33CF5C51C9046C244816A3989288629444258D0243001</t>
  </si>
  <si>
    <t>44CA6915CB278E33CF5C51C9046C245426BEB79238CEA0F025211313A07CF37BA8</t>
  </si>
  <si>
    <t>44CA6915CB278E33CF5C51C9046C245426BEB79238CEA0F025211313A07CF3735C</t>
  </si>
  <si>
    <t>44CA6915CB278E33CF5C51C9046C244816A3989288629444258D0240002</t>
  </si>
  <si>
    <t>모듈러잭  2구용  개     ( 호표 20 )</t>
  </si>
  <si>
    <t>모듈러잭 2구용</t>
  </si>
  <si>
    <t>42B16FD2C120824E8DDF545705A1CB7C0E53C</t>
  </si>
  <si>
    <t>44CA683F27268EDCD3C7573D1E4BD42B16FD2C120824E8DDF545705A1CB7C0E53C</t>
  </si>
  <si>
    <t>44CA683F27268EDCD3C7573D1E4BD45426BEB79238CEA0F025211313A07CF37352</t>
  </si>
  <si>
    <t>44CA683F27268EDCD3C7573D1E4BD44816A3989288629444258D0243001</t>
  </si>
  <si>
    <t>44CA6E9BA62E8B0720D652D06D68A42B16FD2C0278DA1CDD85DF2B93F5187E3A3B</t>
  </si>
  <si>
    <t>44CA6E9BA62E8B0720D652D06D68A44816A3989288629444258D0240002</t>
  </si>
  <si>
    <t>배관배선의 2%</t>
  </si>
  <si>
    <t>44CA6E9BA62E8B0720D652D06D68A44816A3989288629444258D0241003</t>
  </si>
  <si>
    <t>0.06*(1*1.2*0.8)</t>
  </si>
  <si>
    <t>44CA6E9BA62E8B0720D652D06D68A45426BEB79238CEA0F025211313A07CF37352</t>
  </si>
  <si>
    <t>44CA6E9BA62E8B0720D652D06D68A44816A3989288629444258D0246004</t>
  </si>
  <si>
    <t>제어케이블  TFR-CVV, 3CX1.5㎟  m     ( 호표 22 )</t>
  </si>
  <si>
    <t>제어케이블, 0.6/1kV, TFR-CVV, 3C×1.5㎟</t>
  </si>
  <si>
    <t>42A766BD292D8B784AAB55C1EF05758E2ECAA</t>
  </si>
  <si>
    <t>44CA69127A2381313A685CAFDBD1B42A766BD292D8B784AAB55C1EF05758E2ECAA</t>
  </si>
  <si>
    <t>44CA69127A2381313A685CAFDBD1B44816A3989288629444258D0241003</t>
  </si>
  <si>
    <t>44CA69127A2381313A685CAFDBD1B45426BEB79238CEA0F025211313A07CF3735D</t>
  </si>
  <si>
    <t>44CA69127A2381313A685CAFDBD1B44816A3989288629444258D0246004</t>
  </si>
  <si>
    <t>전력케이블  F-CV, 0.6/1kV, 3C 2.5㎟  m     ( 호표 23 )</t>
  </si>
  <si>
    <t>600V폴리에틸렌케이블, 0.6/1kV, F-CV, 3C×2.5㎟</t>
  </si>
  <si>
    <t>42A766BD292D8B7848F25DA9935743991728E</t>
  </si>
  <si>
    <t>44CA691D0220871BF4C351320AC0542A766BD292D8B7848F25DA9935743991728E</t>
  </si>
  <si>
    <t>44CA691D0220871BF4C351320AC0544816A3989288629444258D0241003</t>
  </si>
  <si>
    <t>44CA691D0220871BF4C351320AC0545426BEB79238CEA0F025211313A07CF3735D</t>
  </si>
  <si>
    <t>44CA691D0220871BF4C351320AC0544816A3989288629444258D0246004</t>
  </si>
  <si>
    <t>HDMI 케이블  HDMI CABLE  m     ( 호표 24 )</t>
  </si>
  <si>
    <t>42A766BD292D8B784AA1558CBB20E4EAEC026</t>
  </si>
  <si>
    <t>44CA6912702C8A6A4F5C5CC63308442A766BD292D8B784AA1558CBB20E4EAEC026</t>
  </si>
  <si>
    <t>44CA6912702C8A6A4F5C5CC63308444816A3989288629444258D0243001</t>
  </si>
  <si>
    <t>44CA6912702C8A6A4F5C5CC63308445426BEB79238CEA0F025211313A07CF3735D</t>
  </si>
  <si>
    <t>44CA6912702C8A6A4F5C5CC63308444816A3989288629444258D0240002</t>
  </si>
  <si>
    <t>스피커케이블  SW-2300  m     ( 호표 25 )</t>
  </si>
  <si>
    <t>SPEAKER CABLE</t>
  </si>
  <si>
    <t>SW-2200</t>
  </si>
  <si>
    <t>42A766BD292D8B784AA1558CBB20E4EAEC024</t>
  </si>
  <si>
    <t>44CA6912702C8A6B55A7519E5DCA642A766BD292D8B784AA1558CBB20E4EAEC024</t>
  </si>
  <si>
    <t>44CA6912702C8A6B55A7519E5DCA644816A3989288629444258D0243001</t>
  </si>
  <si>
    <t>44CA6912702C8A6B55A7519E5DCA645426BEB79238CEA0F025211313A07CF3735D</t>
  </si>
  <si>
    <t>44CA6912702C8A6B55A7519E5DCA644816A3989288629444258D0240002</t>
  </si>
  <si>
    <t>마이크케이블  MW-3300  m     ( 호표 26 )</t>
  </si>
  <si>
    <t>MIC CABLE</t>
  </si>
  <si>
    <t>MW-3200</t>
  </si>
  <si>
    <t>42A766BD292D8B784AA1558CBB20E4EAEC025</t>
  </si>
  <si>
    <t>44CA6912702C8A6B55A7519E5DCA142A766BD292D8B784AA1558CBB20E4EAEC025</t>
  </si>
  <si>
    <t>44CA6912702C8A6B55A7519E5DCA144816A3989288629444258D0243001</t>
  </si>
  <si>
    <t>44CA6912702C8A6B55A7519E5DCA145426BEB79238CEA0F025211313A07CF3735D</t>
  </si>
  <si>
    <t>44CA6912702C8A6B55A7519E5DCA144816A3989288629444258D0240002</t>
  </si>
  <si>
    <t>절연전선  F-GV, 16㎟, 직매포설  m     ( 호표 27 )</t>
  </si>
  <si>
    <t>절연전선및피복선</t>
  </si>
  <si>
    <t>접지용비닐절연전선, F-GV, 16㎟</t>
  </si>
  <si>
    <t>42A766BD292D8B7B1C5D508F0072CE441EE5F</t>
  </si>
  <si>
    <t>44CA6A7CA42589B5BF3152103842442A766BD292D8B7B1C5D508F0072CE441EE5F</t>
  </si>
  <si>
    <t>44CA6A7CA42589B5BF3152103842444816A3989288629444258D0241003</t>
  </si>
  <si>
    <t>44CA6A7CA42589B5BF3152103842445426BEB79238CEA0F025211313A07CF3735C</t>
  </si>
  <si>
    <t>44CA6A7CA42589B5BF3152103842444816A3989288629444258D0246004</t>
  </si>
  <si>
    <t>하이텍케이블트레이  분체도장, W300×100H×1.0t  m     ( 호표 28 )</t>
  </si>
  <si>
    <t>덕트형케이블트레이</t>
  </si>
  <si>
    <t>덕트형케이블트레이, 하이테크트레이, 분체, 300×t1.0(100)mm</t>
  </si>
  <si>
    <t>42B16FD2C0278DA1CDDA58EAE0D8B55C4F007</t>
  </si>
  <si>
    <t>44CA6E9D532B8CE3E3DE5E4D36B0C42B16FD2C0278DA1CDDA58EAE0D8B55C4F007</t>
  </si>
  <si>
    <t>44CA6E9D532B8CE3E3DE5E4D36B0C45426BEB79238CEA0F025211313A07CF37352</t>
  </si>
  <si>
    <t>44CA6E9D532B8CE3E3DE5E4D36B0C44816A3989288629444258D0243001</t>
  </si>
  <si>
    <t>케이블트레이지지대(수직)  W300  개소     ( 호표 29 )</t>
  </si>
  <si>
    <t>케이블트레이부속품</t>
  </si>
  <si>
    <t>U Channel, 41×41×t2.6mm</t>
  </si>
  <si>
    <t>42B16FD2C0278DA1CDDB5912535B750F67C8F</t>
  </si>
  <si>
    <t>44CA6E951F2A893FBACB52F1AD34542B16FD2C0278DA1CDDB5912535B750F67C8F</t>
  </si>
  <si>
    <t>행어볼트</t>
  </si>
  <si>
    <t>행어볼트, ∮9×1000mm</t>
  </si>
  <si>
    <t>42B1679C052A87791B3156FC1CF5E3D87E4CE</t>
  </si>
  <si>
    <t>44CA6E951F2A893FBACB52F1AD34542B1679C052A87791B3156FC1CF5E3D87E4CE</t>
  </si>
  <si>
    <t>스트롱앵커</t>
  </si>
  <si>
    <t>스트롱앵커, M10, 9.5mm</t>
  </si>
  <si>
    <t>42B1679C052A84AA35955F080043B152A6EA8</t>
  </si>
  <si>
    <t>44CA6E951F2A893FBACB52F1AD34542B1679C052A84AA35955F080043B152A6EA8</t>
  </si>
  <si>
    <t>육각너트</t>
  </si>
  <si>
    <t>육각너트, M10</t>
  </si>
  <si>
    <t>42B1679C052A8778093A5F92971B484C59FBB</t>
  </si>
  <si>
    <t>44CA6E951F2A893FBACB52F1AD34542B1679C052A8778093A5F92971B484C59FBB</t>
  </si>
  <si>
    <t>스프링와셔</t>
  </si>
  <si>
    <t>스프링와셔, 용융아연도, 호칭경10mm</t>
  </si>
  <si>
    <t>42B1679C052A877765095B2911688C8B51C83</t>
  </si>
  <si>
    <t>44CA6E951F2A893FBACB52F1AD34542B1679C052A877765095B2911688C8B51C83</t>
  </si>
  <si>
    <t>레일클램프</t>
  </si>
  <si>
    <t>42B16FD2C0278DA1CDDB591253D855D925298</t>
  </si>
  <si>
    <t>44CA6E951F2A893FBACB52F1AD34542B16FD2C0278DA1CDDB591253D855D925298</t>
  </si>
  <si>
    <t>44CA6E951F2A893FBACB52F1AD34545426BEB79238CEA0F025211313A07CF37352</t>
  </si>
  <si>
    <t>44CA6E951F2A893FBACB52F1AD34544816A3989288629444258D0243001</t>
  </si>
  <si>
    <t>절연전선  F-GV, 35㎟, 직매포설  m     ( 호표 30 )</t>
  </si>
  <si>
    <t>접지용비닐절연전선, F-GV, 35㎟</t>
  </si>
  <si>
    <t>42A766BD292D8B7B1C5D508F0072CE440C125</t>
  </si>
  <si>
    <t>44CA6A7CA4258B7AD6C15D5A87E5642A766BD292D8B7B1C5D508F0072CE440C125</t>
  </si>
  <si>
    <t>44CA6A7CA4258B7AD6C15D5A87E5644816A3989288629444258D0241003</t>
  </si>
  <si>
    <t>44CA6A7CA4258B7AD6C15D5A87E5645426BEB79238CEA0F025211313A07CF3735C</t>
  </si>
  <si>
    <t>44CA6A7CA4258B7AD6C15D5A87E5644816A3989288629444258D0246004</t>
  </si>
  <si>
    <t>접지봉  14Φ×1000mm  개소     ( 호표 31 )</t>
  </si>
  <si>
    <t>접지장치또는조립품</t>
  </si>
  <si>
    <t>접지봉, 14Φ×1000mm</t>
  </si>
  <si>
    <t>42B16FD2C120824CC1705D5388C4B51CF2348</t>
  </si>
  <si>
    <t>45D7677332228133BFA8529F1A6FB42B16FD2C120824CC1705D5388C4B51CF2348</t>
  </si>
  <si>
    <t>45D7677332228133BFA8529F1A6FB45426BEB79238CEA0F025211313A07CF37BA8</t>
  </si>
  <si>
    <t>45D7677332228133BFA8529F1A6FB45426BEB79238CEA0F025211313A07CF3735C</t>
  </si>
  <si>
    <t>45D7677332228133BFA8529F1A6FB44816A3989288629444258D0243001</t>
  </si>
  <si>
    <t>잡석깔기지정  떨공이다지기  ㎥     ( 호표 32 )</t>
  </si>
  <si>
    <t>자갈</t>
  </si>
  <si>
    <t>(별도)</t>
  </si>
  <si>
    <t>4296681AB92E8DA2A7FC569C8807F550CBD9F</t>
  </si>
  <si>
    <t>459D6EBEFD2987A58F7B534F5FE674296681AB92E8DA2A7FC569C8807F550CBD9F</t>
  </si>
  <si>
    <t>459D6EBEFD2987A58F7B534F5FE6745426BEB79238CEA0F025211313A07CF37BA8</t>
  </si>
  <si>
    <t>기구손료</t>
  </si>
  <si>
    <t>인건비의2%</t>
  </si>
  <si>
    <t>459D6EBEFD2987A58F7B534F5FE6744816A3989288629444258D0243001</t>
  </si>
  <si>
    <t>트럭탑재형 크레인  10 ton  HR     ( 호표 33 )</t>
  </si>
  <si>
    <t>A</t>
  </si>
  <si>
    <t>10ton</t>
  </si>
  <si>
    <t>대</t>
  </si>
  <si>
    <t>42846218E725856FE1E05420A759ABD6DCE2A</t>
  </si>
  <si>
    <t>42846218E725856FE1E05420A759ABD6DCE2A0E42846218E725856FE1E05420A759ABD6DCE2A</t>
  </si>
  <si>
    <t>화물차운전사</t>
  </si>
  <si>
    <t>45426BEB79238CEA0F025211313A07CF37F0C</t>
  </si>
  <si>
    <t>42846218E725856FE1E05420A759ABD6DCE2A0E45426BEB79238CEA0F025211313A07CF37F0C</t>
  </si>
  <si>
    <t>경유</t>
  </si>
  <si>
    <t>경유, 저유황</t>
  </si>
  <si>
    <t>L</t>
  </si>
  <si>
    <t>42966CF7F52D8D48D68454BDE4E378244A162</t>
  </si>
  <si>
    <t>42846218E725856FE1E05420A759ABD6DCE2A0E42966CF7F52D8D48D68454BDE4E378244A162</t>
  </si>
  <si>
    <t>잡품</t>
  </si>
  <si>
    <t>재료비의 20%</t>
  </si>
  <si>
    <t>42846218E725856FE1E05420A759ABD6DCE2A0E44816A3989288629444258D0243001</t>
  </si>
  <si>
    <t>단 가 대 비 표</t>
  </si>
  <si>
    <t>규격</t>
  </si>
  <si>
    <t>가격정보</t>
  </si>
  <si>
    <t>PAGE</t>
  </si>
  <si>
    <t>물가자료</t>
  </si>
  <si>
    <t>물가정보</t>
  </si>
  <si>
    <t>유통물가</t>
  </si>
  <si>
    <t>조사가격</t>
  </si>
  <si>
    <t>적용단가</t>
  </si>
  <si>
    <t>품목구분</t>
  </si>
  <si>
    <t>노임구분</t>
  </si>
  <si>
    <t>소수점처리</t>
  </si>
  <si>
    <t>자재 1</t>
  </si>
  <si>
    <t>천원</t>
  </si>
  <si>
    <t>62</t>
  </si>
  <si>
    <t>55</t>
  </si>
  <si>
    <t>자재 2</t>
  </si>
  <si>
    <t>별도</t>
  </si>
  <si>
    <t>하 32</t>
  </si>
  <si>
    <t>1438</t>
  </si>
  <si>
    <t>자재 3</t>
  </si>
  <si>
    <t>20683699</t>
  </si>
  <si>
    <t>1075</t>
  </si>
  <si>
    <t>1165</t>
  </si>
  <si>
    <t>자재 4</t>
  </si>
  <si>
    <t>20683701</t>
  </si>
  <si>
    <t>자재 5</t>
  </si>
  <si>
    <t>20684228</t>
  </si>
  <si>
    <t>1076</t>
  </si>
  <si>
    <t>1179</t>
  </si>
  <si>
    <t>자재 6</t>
  </si>
  <si>
    <t>21650752</t>
  </si>
  <si>
    <t>1176</t>
  </si>
  <si>
    <t>자재 7</t>
  </si>
  <si>
    <t>21650753</t>
  </si>
  <si>
    <t>자재 8</t>
  </si>
  <si>
    <t>자재 9</t>
  </si>
  <si>
    <t>자재 10</t>
  </si>
  <si>
    <t>1252</t>
  </si>
  <si>
    <t>1351</t>
  </si>
  <si>
    <t>자재 11</t>
  </si>
  <si>
    <t>자재 12</t>
  </si>
  <si>
    <t>1249</t>
  </si>
  <si>
    <t>자재 13</t>
  </si>
  <si>
    <t>자재 14</t>
  </si>
  <si>
    <t>20683921</t>
  </si>
  <si>
    <t>1168</t>
  </si>
  <si>
    <t>자재 15</t>
  </si>
  <si>
    <t>20177109</t>
  </si>
  <si>
    <t>1080</t>
  </si>
  <si>
    <t>1174</t>
  </si>
  <si>
    <t>자재 16</t>
  </si>
  <si>
    <t>20177117</t>
  </si>
  <si>
    <t>자재 17</t>
  </si>
  <si>
    <t>207</t>
  </si>
  <si>
    <t>자재 18</t>
  </si>
  <si>
    <t>212</t>
  </si>
  <si>
    <t>자재 19</t>
  </si>
  <si>
    <t>46</t>
  </si>
  <si>
    <t>43</t>
  </si>
  <si>
    <t>자재 20</t>
  </si>
  <si>
    <t>51</t>
  </si>
  <si>
    <t>39</t>
  </si>
  <si>
    <t>자재 21</t>
  </si>
  <si>
    <t>48</t>
  </si>
  <si>
    <t>자재 22</t>
  </si>
  <si>
    <t>52</t>
  </si>
  <si>
    <t>642</t>
  </si>
  <si>
    <t>자재 23</t>
  </si>
  <si>
    <t>10035797</t>
  </si>
  <si>
    <t>1105</t>
  </si>
  <si>
    <t>1206</t>
  </si>
  <si>
    <t>자재 24</t>
  </si>
  <si>
    <t>10035778</t>
  </si>
  <si>
    <t>자재 25</t>
  </si>
  <si>
    <t>자재 26</t>
  </si>
  <si>
    <t>자재 27</t>
  </si>
  <si>
    <t>20409528</t>
  </si>
  <si>
    <t>자재 28</t>
  </si>
  <si>
    <t>20935638</t>
  </si>
  <si>
    <t>자재 29</t>
  </si>
  <si>
    <t>20935627</t>
  </si>
  <si>
    <t>1205</t>
  </si>
  <si>
    <t>자재 30</t>
  </si>
  <si>
    <t>10034844</t>
  </si>
  <si>
    <t>1198</t>
  </si>
  <si>
    <t>1270</t>
  </si>
  <si>
    <t>자재 31</t>
  </si>
  <si>
    <t>20938600</t>
  </si>
  <si>
    <t>1111</t>
  </si>
  <si>
    <t>1211</t>
  </si>
  <si>
    <t>자재 32</t>
  </si>
  <si>
    <t>20175118</t>
  </si>
  <si>
    <t>1114</t>
  </si>
  <si>
    <t>자재 33</t>
  </si>
  <si>
    <t>20175120</t>
  </si>
  <si>
    <t>자재 34</t>
  </si>
  <si>
    <t>20175123</t>
  </si>
  <si>
    <t>1113</t>
  </si>
  <si>
    <t>자재 35</t>
  </si>
  <si>
    <t>20175128</t>
  </si>
  <si>
    <t>자재 36</t>
  </si>
  <si>
    <t>자재 37</t>
  </si>
  <si>
    <t>10034967</t>
  </si>
  <si>
    <t>1107</t>
  </si>
  <si>
    <t>1203</t>
  </si>
  <si>
    <t>자재 38</t>
  </si>
  <si>
    <t>10034969</t>
  </si>
  <si>
    <t>자재 39</t>
  </si>
  <si>
    <t>10034970</t>
  </si>
  <si>
    <t>자재 40</t>
  </si>
  <si>
    <t>10035664</t>
  </si>
  <si>
    <t>1104</t>
  </si>
  <si>
    <t>자재 41</t>
  </si>
  <si>
    <t>10035665</t>
  </si>
  <si>
    <t>자재 42</t>
  </si>
  <si>
    <t>10035666</t>
  </si>
  <si>
    <t>자재 43</t>
  </si>
  <si>
    <t>20174478</t>
  </si>
  <si>
    <t>1101</t>
  </si>
  <si>
    <t>1204</t>
  </si>
  <si>
    <t>자재 44</t>
  </si>
  <si>
    <t>20174434</t>
  </si>
  <si>
    <t>자재 45</t>
  </si>
  <si>
    <t>20174927</t>
  </si>
  <si>
    <t>1106</t>
  </si>
  <si>
    <t>자재 46</t>
  </si>
  <si>
    <t>20935651</t>
  </si>
  <si>
    <t>1229</t>
  </si>
  <si>
    <t>자재 47</t>
  </si>
  <si>
    <t>자재 48</t>
  </si>
  <si>
    <t>자재 49</t>
  </si>
  <si>
    <t>자재 50</t>
  </si>
  <si>
    <t>1</t>
  </si>
  <si>
    <t>자재 51</t>
  </si>
  <si>
    <t>자재 52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</si>
  <si>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</si>
  <si>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</si>
  <si>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</si>
  <si>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</si>
  <si>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</si>
  <si>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</si>
  <si>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</si>
  <si>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</si>
  <si>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</si>
  <si>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</si>
  <si>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자재 53</t>
  </si>
  <si>
    <t>적용율(%)</t>
  </si>
  <si>
    <t>소수점이하자릿수</t>
  </si>
  <si>
    <t>일위대가 코드</t>
  </si>
  <si>
    <t>관로구방수  ø65, 3개설치  (호표 1)</t>
  </si>
  <si>
    <t>경질비닐전선관  54mm, 매입  (호표 2)</t>
  </si>
  <si>
    <t xml:space="preserve">      통신내선공</t>
  </si>
  <si>
    <t>풀박스  150X150X100mm, 매입, 천정  (호표 3)</t>
  </si>
  <si>
    <t>핸드홀(수공1호)  950*450*700  (호표 4)</t>
  </si>
  <si>
    <t xml:space="preserve">      특별인부</t>
  </si>
  <si>
    <t xml:space="preserve">      비계공</t>
  </si>
  <si>
    <t xml:space="preserve">      작업반장</t>
  </si>
  <si>
    <t xml:space="preserve">      줄눈공</t>
  </si>
  <si>
    <t>경질비닐전선관  28mm, 노출  (호표 5)</t>
  </si>
  <si>
    <t>경질비닐전선관  42mm, 노출  (호표 6)</t>
  </si>
  <si>
    <t>1종금속제가요전선관  16mm 비방수, 노출  (호표 7)</t>
  </si>
  <si>
    <t>통신용케이블  UTP Cat.6 4P * 6  (호표 8)</t>
  </si>
  <si>
    <t xml:space="preserve">      통신케이블공</t>
  </si>
  <si>
    <t>광케이블  F/O 12C  (호표 9)</t>
  </si>
  <si>
    <t xml:space="preserve">      보통인부</t>
  </si>
  <si>
    <t xml:space="preserve">      통신외선공</t>
  </si>
  <si>
    <t>합성수지제 가요전선관  하이렉스-CD, 16mm, 매입  (호표 10)</t>
  </si>
  <si>
    <t>합성수지제 가요전선관  하이렉스-CD, 22mm, 매입  (호표 11)</t>
  </si>
  <si>
    <t>합성수지제 가요전선관  하이렉스-CD, 28mm, 매입  (호표 12)</t>
  </si>
  <si>
    <t>스위치박스  ST, 1개용 54mm  (호표 13)</t>
  </si>
  <si>
    <t>아우트렛박스  4각 54mm  (호표 14)</t>
  </si>
  <si>
    <t>UTP 케이블(구내)  UTP Cat.5e 25P * 2  (호표 15)</t>
  </si>
  <si>
    <t>통신용케이블  UTP Cat.6 4P * 1  (호표 16)</t>
  </si>
  <si>
    <t>통신용케이블  UTP Cat.6 4P * 2  (호표 17)</t>
  </si>
  <si>
    <t>통신용케이블  UTP Cat.6 4P * 4  (호표 18)</t>
  </si>
  <si>
    <t>광케이블  F/O 4C (SMF)  (호표 19)</t>
  </si>
  <si>
    <t>모듈러잭  2구용  (호표 20)</t>
  </si>
  <si>
    <t>합성수지제 가요전선관  하이렉스-CD, 22mm, 노출  (호표 21)</t>
  </si>
  <si>
    <t>제어케이블  TFR-CVV, 3CX1.5㎟  (호표 22)</t>
  </si>
  <si>
    <t>전력케이블  F-CV, 0.6/1kV, 3C 2.5㎟  (호표 23)</t>
  </si>
  <si>
    <t>HDMI 케이블  HDMI CABLE  (호표 24)</t>
  </si>
  <si>
    <t>스피커케이블  SW-2300  (호표 25)</t>
  </si>
  <si>
    <t>마이크케이블  MW-3300  (호표 26)</t>
  </si>
  <si>
    <t>절연전선  F-GV, 16㎟, 직매포설  (호표 27)</t>
  </si>
  <si>
    <t>하이텍케이블트레이  분체도장, W300×100H×1.0t  (호표 28)</t>
  </si>
  <si>
    <t>케이블트레이지지대(수직)  W300  (호표 29)</t>
  </si>
  <si>
    <t>절연전선  F-GV, 35㎟, 직매포설  (호표 30)</t>
  </si>
  <si>
    <t>접지봉  14Φ×1000mm  (호표 31)</t>
  </si>
  <si>
    <t>잡석깔기지정  떨공이다지기  (호표 32)</t>
  </si>
  <si>
    <t>트럭탑재형 크레인  10 ton  (호표 33)</t>
  </si>
  <si>
    <t xml:space="preserve">      화물차운전사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</si>
  <si>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</si>
  <si>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</si>
  <si>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</si>
  <si>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</si>
  <si>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</si>
  <si>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</si>
  <si>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</si>
  <si>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</si>
  <si>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</si>
  <si>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</si>
  <si>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</si>
  <si>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일위대가목록+자재</t>
  </si>
  <si>
    <t>특고압케이블전공</t>
  </si>
  <si>
    <t>저압케이블전공</t>
  </si>
  <si>
    <t>관로구방수  ø65, 3개설치  3개  (호표 1)</t>
  </si>
  <si>
    <t>전기품셈 2-18</t>
  </si>
  <si>
    <t>0.12*1</t>
  </si>
  <si>
    <t>0.024*1</t>
  </si>
  <si>
    <t>45426BEB79238CEA0F025211313A07CF37CB7</t>
  </si>
  <si>
    <t>0.2376*1</t>
  </si>
  <si>
    <t>전기품셈 4-47</t>
  </si>
  <si>
    <t>0.076*1</t>
  </si>
  <si>
    <t>45426BEB79238CEA0F025211313A07CF37CB9</t>
  </si>
  <si>
    <t>44CA6E94702E897707835FDA4E31A45426BEB79238CEA0F025211313A07CF37BA8</t>
  </si>
  <si>
    <t>44CA6E94702E897707835FDA4E31A45426BEB79238CEA0F025211313A07CF37CB7</t>
  </si>
  <si>
    <t>44CA6E94702E897707835FDA4E31A45426BEB79238CEA0F025211313A07CF37CB9</t>
  </si>
  <si>
    <t>경질비닐전선관  54mm, 매입  m  (호표 2)</t>
  </si>
  <si>
    <t>통신품셈 3-1-1</t>
  </si>
  <si>
    <t>1.9*0.1 * 70%</t>
  </si>
  <si>
    <t>풀박스  150X150X100mm, 매입, 천정  개  (호표 3)</t>
  </si>
  <si>
    <t>통신품셈 3-2-1</t>
  </si>
  <si>
    <t>0.22*1</t>
  </si>
  <si>
    <t>경질비닐전선관  28mm, 노출  m  (호표 5)</t>
  </si>
  <si>
    <t>0.08*1 * 120%</t>
  </si>
  <si>
    <t>0.08*1</t>
  </si>
  <si>
    <t>경질비닐전선관  42mm, 노출  m  (호표 6)</t>
  </si>
  <si>
    <t>0.13*1 * 120%</t>
  </si>
  <si>
    <t>0.13*1</t>
  </si>
  <si>
    <t>1종금속제가요전선관  16mm 비방수, 노출  m  (호표 7)</t>
  </si>
  <si>
    <t>0.044*1 * 120% * 90%</t>
  </si>
  <si>
    <t>통신용케이블  UTP Cat.6 4P * 6  m  (호표 8)</t>
  </si>
  <si>
    <t>통신품셈 4-3-1</t>
  </si>
  <si>
    <t>0.015*1 * 84%</t>
  </si>
  <si>
    <t>0.015*1</t>
  </si>
  <si>
    <t>광케이블  F/O 12C  m  (호표 9)</t>
  </si>
  <si>
    <t>통신품셈 4-1-1</t>
  </si>
  <si>
    <t>0.0053*1</t>
  </si>
  <si>
    <t>0.0048*1</t>
  </si>
  <si>
    <t>합성수지제 가요전선관  하이렉스-CD, 16mm, 매입  m  (호표 10)</t>
  </si>
  <si>
    <t>0.05*1 * 80% * 90%</t>
  </si>
  <si>
    <t>합성수지제 가요전선관  하이렉스-CD, 22mm, 매입  m  (호표 11)</t>
  </si>
  <si>
    <t>0.06*1 * 80% * 90%</t>
  </si>
  <si>
    <t>합성수지제 가요전선관  하이렉스-CD, 28mm, 매입  m  (호표 12)</t>
  </si>
  <si>
    <t>0.08*1 * 80% * 90%</t>
  </si>
  <si>
    <t>스위치박스  ST, 1개용 54mm  개  (호표 13)</t>
  </si>
  <si>
    <t>0.18*1</t>
  </si>
  <si>
    <t>아우트렛박스  4각 54mm  개  (호표 14)</t>
  </si>
  <si>
    <t>UTP 케이블(구내)  UTP Cat.5e 25P * 2  m  (호표 15)</t>
  </si>
  <si>
    <t>0.024*1 * 90%</t>
  </si>
  <si>
    <t>통신용케이블  UTP Cat.6 4P * 1  m  (호표 16)</t>
  </si>
  <si>
    <t>통신용케이블  UTP Cat.6 4P * 2  m  (호표 17)</t>
  </si>
  <si>
    <t>0.015*1 * 90%</t>
  </si>
  <si>
    <t>통신용케이블  UTP Cat.6 4P * 4  m  (호표 18)</t>
  </si>
  <si>
    <t>0.015*1 * 85%</t>
  </si>
  <si>
    <t>광케이블  F/O 4C (SMF)  m  (호표 19)</t>
  </si>
  <si>
    <t>모듈러잭  2구용  개  (호표 20)</t>
  </si>
  <si>
    <t>통신품셈 4-3-2</t>
  </si>
  <si>
    <t>0.028*1 * 120%</t>
  </si>
  <si>
    <t>합성수지제 가요전선관  하이렉스-CD, 22mm, 노출  m  (호표 21)</t>
  </si>
  <si>
    <t>0.06*1 * 80% * 120%</t>
  </si>
  <si>
    <t>제어케이블  TFR-CVV, 3CX1.5㎟  m  (호표 22)</t>
  </si>
  <si>
    <t>통신품셈 4-4-1</t>
  </si>
  <si>
    <t>0.017*1</t>
  </si>
  <si>
    <t>전력케이블  F-CV, 0.6/1kV, 3C 2.5㎟  m  (호표 23)</t>
  </si>
  <si>
    <t>0.019*1</t>
  </si>
  <si>
    <t>HDMI 케이블  HDMI CABLE  m  (호표 24)</t>
  </si>
  <si>
    <t>통신품셈 4-8-1</t>
  </si>
  <si>
    <t>0.016*1</t>
  </si>
  <si>
    <t>스피커케이블  SW-2300  m  (호표 25)</t>
  </si>
  <si>
    <t>0.018*1</t>
  </si>
  <si>
    <t>마이크케이블  MW-3300  m  (호표 26)</t>
  </si>
  <si>
    <t>절연전선  F-GV, 16㎟, 직매포설  m  (호표 27)</t>
  </si>
  <si>
    <t>통신품셈 11-5-1</t>
  </si>
  <si>
    <t>하이텍케이블트레이  분체도장, W300×100H×1.0t  m  (호표 28)</t>
  </si>
  <si>
    <t>통신품셈 3-4-1</t>
  </si>
  <si>
    <t>0.271*1 * 120%</t>
  </si>
  <si>
    <t>케이블트레이지지대(수직)  W300  개소  (호표 29)</t>
  </si>
  <si>
    <t>통신품셈 3-7-1</t>
  </si>
  <si>
    <t>0.04*1</t>
  </si>
  <si>
    <t>절연전선  F-GV, 35㎟, 직매포설  m  (호표 30)</t>
  </si>
  <si>
    <t>0.012*1 * 150%</t>
  </si>
  <si>
    <t>접지봉  14Φ×1000mm  개소  (호표 31)</t>
  </si>
  <si>
    <t>0.1*1</t>
  </si>
  <si>
    <t>0.2*1</t>
  </si>
  <si>
    <t>잡석깔기지정  떨공이다지기  ㎥  (호표 32)</t>
  </si>
  <si>
    <t>토목품셈 5-19</t>
  </si>
  <si>
    <t>1.1*1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</si>
  <si>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</si>
  <si>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</si>
  <si>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</si>
  <si>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</si>
  <si>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</si>
  <si>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</si>
  <si>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</si>
  <si>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</si>
  <si>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</si>
  <si>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</si>
  <si>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</si>
  <si>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</si>
  <si>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</si>
  <si>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</si>
  <si>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</si>
  <si>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</si>
  <si>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</si>
  <si>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</si>
  <si>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</si>
  <si>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</si>
  <si>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</si>
  <si>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</si>
  <si>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</si>
  <si>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</si>
  <si>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</si>
  <si>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</si>
  <si>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</si>
  <si>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</si>
  <si>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</si>
  <si>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</si>
  <si>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</si>
  <si>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</si>
  <si>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</si>
  <si>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</si>
  <si>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</si>
  <si>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</si>
  <si>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</si>
  <si>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</si>
  <si>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</si>
  <si>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</si>
  <si>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</si>
  <si>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(재료비+직노) * 3.11%*1.2</t>
  </si>
  <si>
    <t>CB</t>
  </si>
  <si>
    <t>노인장기요양보험료</t>
  </si>
  <si>
    <t>건강보험료 * 13.14%</t>
  </si>
  <si>
    <t>CG</t>
  </si>
  <si>
    <t>기   타    경   비</t>
  </si>
  <si>
    <t>(재료비+노무비) * 4.6%</t>
  </si>
  <si>
    <t>CS</t>
  </si>
  <si>
    <t>S1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</si>
  <si>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</si>
  <si>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</si>
  <si>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</si>
  <si>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</si>
  <si>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</si>
  <si>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</si>
  <si>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</si>
  <si>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</si>
  <si>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</si>
  <si>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</si>
  <si>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</si>
  <si>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</si>
  <si>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 급 자 재 비</t>
  </si>
  <si>
    <t>S2</t>
  </si>
  <si>
    <t>총   공   사    비</t>
  </si>
  <si>
    <t>E1</t>
  </si>
  <si>
    <t>재해예방기술지도수수료</t>
  </si>
  <si>
    <t>S3</t>
  </si>
  <si>
    <t>총              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</si>
  <si>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</si>
  <si>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</si>
  <si>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</si>
  <si>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</si>
  <si>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</si>
  <si>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</si>
  <si>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</si>
  <si>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</si>
  <si>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</si>
  <si>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</si>
  <si>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</si>
  <si>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</si>
  <si>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</si>
  <si>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</si>
  <si>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</si>
  <si>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</si>
  <si>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</si>
  <si>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</si>
  <si>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</si>
  <si>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</si>
  <si>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</si>
  <si>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</si>
  <si>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</si>
  <si>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</si>
  <si>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</si>
  <si>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</si>
  <si>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</si>
  <si>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</si>
  <si>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</si>
  <si>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</si>
  <si>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</si>
  <si>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</si>
  <si>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</si>
  <si>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</si>
  <si>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</si>
  <si>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사 급 자 재 비</t>
  </si>
  <si>
    <t>D3</t>
  </si>
  <si>
    <t>외    자    재</t>
  </si>
  <si>
    <t>...</t>
  </si>
  <si>
    <t>....</t>
  </si>
  <si>
    <t>.....</t>
  </si>
  <si>
    <t>E</t>
  </si>
  <si>
    <t>G</t>
  </si>
  <si>
    <t>H</t>
  </si>
  <si>
    <t>I</t>
  </si>
  <si>
    <t>J</t>
  </si>
  <si>
    <t>천단위미만 절사</t>
    <phoneticPr fontId="1" type="noConversion"/>
  </si>
  <si>
    <t>천단위미만 절상</t>
    <phoneticPr fontId="1" type="noConversion"/>
  </si>
  <si>
    <t>하이렉스-CD, 22mm, 매입</t>
    <phoneticPr fontId="1" type="noConversion"/>
  </si>
  <si>
    <t>합성수지제 가요전선관  하이렉스-CD, 22mm, 매입  m     ( 호표 21 )</t>
    <phoneticPr fontId="1" type="noConversion"/>
  </si>
  <si>
    <t>계 * 4%</t>
    <phoneticPr fontId="1" type="noConversion"/>
  </si>
  <si>
    <t>(노무비+경비+일반관리비) * 10%</t>
    <phoneticPr fontId="1" type="noConversion"/>
  </si>
  <si>
    <t>01 SDV보안평가지원센터통신공사1</t>
    <phoneticPr fontId="1" type="noConversion"/>
  </si>
  <si>
    <t>0101 옥외인입 설비공사</t>
    <phoneticPr fontId="1" type="noConversion"/>
  </si>
  <si>
    <t>0102 통합배선반 설비공사</t>
    <phoneticPr fontId="1" type="noConversion"/>
  </si>
  <si>
    <t>02 관급자재</t>
    <phoneticPr fontId="1" type="noConversion"/>
  </si>
  <si>
    <t>0201 통합배선반 설비</t>
    <phoneticPr fontId="1" type="noConversion"/>
  </si>
  <si>
    <t>03 별도공사</t>
    <phoneticPr fontId="1" type="noConversion"/>
  </si>
  <si>
    <t>0301 재해예방기술지도 수수료</t>
    <phoneticPr fontId="1" type="noConversion"/>
  </si>
  <si>
    <t>0103 A/V 설비공사</t>
    <phoneticPr fontId="1" type="noConversion"/>
  </si>
  <si>
    <t>0104 CABLE TREAY 설비공사</t>
    <phoneticPr fontId="1" type="noConversion"/>
  </si>
  <si>
    <t>공사명 : SDV보안평가지원센터정보통신공사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</si>
</sst>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,##0.00#"/>
    <numFmt numFmtId="178" formatCode="#,##0.0"/>
    <numFmt numFmtId="179" formatCode="#,##0.00#;\-#,##0.00#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0" fillId="0" borderId="9" xfId="0" applyBorder="1" applyAlignment="1">
      <alignment vertical="center" wrapText="1"/>
    </xf>
    <xf numFmtId="0" fontId="3" fillId="0" borderId="9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9" xfId="0" quotePrefix="1" applyBorder="1" applyAlignment="1">
      <alignment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0FB7D-C160-4F39-A52E-728102EF4AF7}">
  <sheetPr>
    <pageSetUpPr fitToPage="1"/>
  </sheetPr>
  <dimension ref="A1:G30"/>
  <sheetViews>
    <sheetView tabSelected="1" view="pageBreakPreview" topLeftCell="B1" zoomScaleNormal="100" zoomScaleSheetLayoutView="100" workbookViewId="0">
      <selection activeCell="B3" sqref="B3:D3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32" t="s">
        <v>905</v>
      </c>
      <c r="C1" s="32"/>
      <c r="D1" s="32"/>
      <c r="E1" s="32"/>
      <c r="F1" s="32"/>
      <c r="G1" s="32"/>
    </row>
    <row r="2" spans="1:7" ht="21.95" customHeight="1" x14ac:dyDescent="0.3">
      <c r="B2" s="33" t="s">
        <v>1035</v>
      </c>
      <c r="C2" s="33"/>
      <c r="D2" s="33"/>
      <c r="E2" s="33"/>
      <c r="F2" s="34" t="str">
        <f>"금액 : "&amp;TEXT(E30,"[DBNUM4]")&amp;"원(\" &amp; TEXT(E30,"#,###")&amp;")"</f>
        <v>금액 : 영원(\)</v>
      </c>
      <c r="G2" s="34"/>
    </row>
    <row r="3" spans="1:7" ht="21.95" customHeight="1" x14ac:dyDescent="0.3">
      <c r="B3" s="35" t="s">
        <v>906</v>
      </c>
      <c r="C3" s="35"/>
      <c r="D3" s="35"/>
      <c r="E3" s="31" t="s">
        <v>907</v>
      </c>
      <c r="F3" s="31" t="s">
        <v>908</v>
      </c>
      <c r="G3" s="31" t="s">
        <v>251</v>
      </c>
    </row>
    <row r="4" spans="1:7" ht="21.95" customHeight="1" x14ac:dyDescent="0.3">
      <c r="A4" s="1" t="s">
        <v>913</v>
      </c>
      <c r="B4" s="36" t="s">
        <v>909</v>
      </c>
      <c r="C4" s="36" t="s">
        <v>910</v>
      </c>
      <c r="D4" s="31" t="s">
        <v>914</v>
      </c>
      <c r="E4" s="12">
        <f>TRUNC(공종별집계표!F5, 0)</f>
        <v>0</v>
      </c>
      <c r="F4" s="10" t="s">
        <v>51</v>
      </c>
      <c r="G4" s="10" t="s">
        <v>51</v>
      </c>
    </row>
    <row r="5" spans="1:7" ht="21.95" customHeight="1" x14ac:dyDescent="0.3">
      <c r="A5" s="1" t="s">
        <v>915</v>
      </c>
      <c r="B5" s="36"/>
      <c r="C5" s="36"/>
      <c r="D5" s="31" t="s">
        <v>916</v>
      </c>
      <c r="E5" s="12">
        <v>0</v>
      </c>
      <c r="F5" s="10" t="s">
        <v>51</v>
      </c>
      <c r="G5" s="10" t="s">
        <v>51</v>
      </c>
    </row>
    <row r="6" spans="1:7" ht="21.95" customHeight="1" x14ac:dyDescent="0.3">
      <c r="A6" s="1" t="s">
        <v>917</v>
      </c>
      <c r="B6" s="36"/>
      <c r="C6" s="36"/>
      <c r="D6" s="31" t="s">
        <v>918</v>
      </c>
      <c r="E6" s="12">
        <v>0</v>
      </c>
      <c r="F6" s="10" t="s">
        <v>51</v>
      </c>
      <c r="G6" s="10" t="s">
        <v>51</v>
      </c>
    </row>
    <row r="7" spans="1:7" ht="21.95" customHeight="1" x14ac:dyDescent="0.3">
      <c r="A7" s="1" t="s">
        <v>919</v>
      </c>
      <c r="B7" s="36"/>
      <c r="C7" s="36"/>
      <c r="D7" s="31" t="s">
        <v>920</v>
      </c>
      <c r="E7" s="12">
        <f>TRUNC(E4+E5-E6, 0)</f>
        <v>0</v>
      </c>
      <c r="F7" s="10" t="s">
        <v>51</v>
      </c>
      <c r="G7" s="10" t="s">
        <v>51</v>
      </c>
    </row>
    <row r="8" spans="1:7" ht="21.95" customHeight="1" x14ac:dyDescent="0.3">
      <c r="A8" s="1" t="s">
        <v>921</v>
      </c>
      <c r="B8" s="36"/>
      <c r="C8" s="36" t="s">
        <v>911</v>
      </c>
      <c r="D8" s="31" t="s">
        <v>922</v>
      </c>
      <c r="E8" s="12">
        <f>TRUNC(공종별집계표!H5, 0)</f>
        <v>0</v>
      </c>
      <c r="F8" s="10" t="s">
        <v>51</v>
      </c>
      <c r="G8" s="10" t="s">
        <v>51</v>
      </c>
    </row>
    <row r="9" spans="1:7" ht="21.95" customHeight="1" x14ac:dyDescent="0.3">
      <c r="A9" s="1" t="s">
        <v>923</v>
      </c>
      <c r="B9" s="36"/>
      <c r="C9" s="36"/>
      <c r="D9" s="31" t="s">
        <v>924</v>
      </c>
      <c r="E9" s="12">
        <f>TRUNC(E8*0.15, 0)</f>
        <v>0</v>
      </c>
      <c r="F9" s="10" t="s">
        <v>925</v>
      </c>
      <c r="G9" s="10" t="s">
        <v>51</v>
      </c>
    </row>
    <row r="10" spans="1:7" ht="21.95" customHeight="1" x14ac:dyDescent="0.3">
      <c r="A10" s="1" t="s">
        <v>926</v>
      </c>
      <c r="B10" s="36"/>
      <c r="C10" s="36"/>
      <c r="D10" s="31" t="s">
        <v>920</v>
      </c>
      <c r="E10" s="12">
        <f>TRUNC(E8+E9, 0)</f>
        <v>0</v>
      </c>
      <c r="F10" s="10" t="s">
        <v>51</v>
      </c>
      <c r="G10" s="10" t="s">
        <v>51</v>
      </c>
    </row>
    <row r="11" spans="1:7" ht="21.95" customHeight="1" x14ac:dyDescent="0.3">
      <c r="A11" s="1" t="s">
        <v>927</v>
      </c>
      <c r="B11" s="36"/>
      <c r="C11" s="36" t="s">
        <v>912</v>
      </c>
      <c r="D11" s="31" t="s">
        <v>928</v>
      </c>
      <c r="E11" s="12">
        <f>TRUNC(공종별집계표!J5, 0)</f>
        <v>0</v>
      </c>
      <c r="F11" s="10" t="s">
        <v>51</v>
      </c>
      <c r="G11" s="10" t="s">
        <v>51</v>
      </c>
    </row>
    <row r="12" spans="1:7" ht="21.95" customHeight="1" x14ac:dyDescent="0.3">
      <c r="A12" s="1" t="s">
        <v>929</v>
      </c>
      <c r="B12" s="36"/>
      <c r="C12" s="36"/>
      <c r="D12" s="31" t="s">
        <v>930</v>
      </c>
      <c r="E12" s="12">
        <f>TRUNC(E10*0.0356, 0)</f>
        <v>0</v>
      </c>
      <c r="F12" s="10" t="s">
        <v>931</v>
      </c>
      <c r="G12" s="10" t="s">
        <v>51</v>
      </c>
    </row>
    <row r="13" spans="1:7" ht="21.95" customHeight="1" x14ac:dyDescent="0.3">
      <c r="A13" s="1" t="s">
        <v>932</v>
      </c>
      <c r="B13" s="36"/>
      <c r="C13" s="36"/>
      <c r="D13" s="31" t="s">
        <v>933</v>
      </c>
      <c r="E13" s="12">
        <f>TRUNC(E10*0.0101, 0)</f>
        <v>0</v>
      </c>
      <c r="F13" s="10" t="s">
        <v>934</v>
      </c>
      <c r="G13" s="10" t="s">
        <v>51</v>
      </c>
    </row>
    <row r="14" spans="1:7" ht="21.95" customHeight="1" x14ac:dyDescent="0.3">
      <c r="A14" s="1" t="s">
        <v>935</v>
      </c>
      <c r="B14" s="36"/>
      <c r="C14" s="36"/>
      <c r="D14" s="31" t="s">
        <v>936</v>
      </c>
      <c r="E14" s="12">
        <f>TRUNC(E8*0.03595, 0)</f>
        <v>0</v>
      </c>
      <c r="F14" s="10" t="s">
        <v>937</v>
      </c>
      <c r="G14" s="10" t="s">
        <v>51</v>
      </c>
    </row>
    <row r="15" spans="1:7" ht="21.95" customHeight="1" x14ac:dyDescent="0.3">
      <c r="A15" s="1" t="s">
        <v>938</v>
      </c>
      <c r="B15" s="36"/>
      <c r="C15" s="36"/>
      <c r="D15" s="31" t="s">
        <v>939</v>
      </c>
      <c r="E15" s="12">
        <f>TRUNC(E8*0.0475, 0)</f>
        <v>0</v>
      </c>
      <c r="F15" s="10" t="s">
        <v>940</v>
      </c>
      <c r="G15" s="10" t="s">
        <v>51</v>
      </c>
    </row>
    <row r="16" spans="1:7" ht="21.95" customHeight="1" x14ac:dyDescent="0.3">
      <c r="A16" s="1" t="s">
        <v>941</v>
      </c>
      <c r="B16" s="36"/>
      <c r="C16" s="36"/>
      <c r="D16" s="31" t="s">
        <v>942</v>
      </c>
      <c r="E16" s="12">
        <f>TRUNC(E8*0.023, 0)</f>
        <v>0</v>
      </c>
      <c r="F16" s="10" t="s">
        <v>943</v>
      </c>
      <c r="G16" s="10" t="s">
        <v>51</v>
      </c>
    </row>
    <row r="17" spans="1:7" ht="21.95" customHeight="1" x14ac:dyDescent="0.3">
      <c r="A17" s="1" t="s">
        <v>944</v>
      </c>
      <c r="B17" s="36"/>
      <c r="C17" s="36"/>
      <c r="D17" s="31" t="s">
        <v>945</v>
      </c>
      <c r="E17" s="12">
        <f>TRUNC((E7+E8)*0.0311*1.2, 0)</f>
        <v>0</v>
      </c>
      <c r="F17" s="10" t="s">
        <v>946</v>
      </c>
      <c r="G17" s="10" t="s">
        <v>51</v>
      </c>
    </row>
    <row r="18" spans="1:7" ht="21.95" customHeight="1" x14ac:dyDescent="0.3">
      <c r="A18" s="1" t="s">
        <v>947</v>
      </c>
      <c r="B18" s="36"/>
      <c r="C18" s="36"/>
      <c r="D18" s="31" t="s">
        <v>948</v>
      </c>
      <c r="E18" s="12">
        <f>TRUNC(E14*0.1314, 0)</f>
        <v>0</v>
      </c>
      <c r="F18" s="10" t="s">
        <v>949</v>
      </c>
      <c r="G18" s="10" t="s">
        <v>51</v>
      </c>
    </row>
    <row r="19" spans="1:7" ht="21.95" customHeight="1" x14ac:dyDescent="0.3">
      <c r="A19" s="1" t="s">
        <v>950</v>
      </c>
      <c r="B19" s="36"/>
      <c r="C19" s="36"/>
      <c r="D19" s="31" t="s">
        <v>951</v>
      </c>
      <c r="E19" s="12">
        <f>TRUNC((E7+E10)*0.046, 0)</f>
        <v>0</v>
      </c>
      <c r="F19" s="10" t="s">
        <v>952</v>
      </c>
      <c r="G19" s="10" t="s">
        <v>51</v>
      </c>
    </row>
    <row r="20" spans="1:7" ht="21.95" customHeight="1" x14ac:dyDescent="0.3">
      <c r="A20" s="1" t="s">
        <v>953</v>
      </c>
      <c r="B20" s="36"/>
      <c r="C20" s="36"/>
      <c r="D20" s="31" t="s">
        <v>920</v>
      </c>
      <c r="E20" s="12">
        <f>TRUNC(E11+E12+E13+E14+E15+E16+E17+E18+E19, 0)</f>
        <v>0</v>
      </c>
      <c r="F20" s="10" t="s">
        <v>51</v>
      </c>
      <c r="G20" s="10" t="s">
        <v>51</v>
      </c>
    </row>
    <row r="21" spans="1:7" ht="21.95" customHeight="1" x14ac:dyDescent="0.3">
      <c r="A21" s="1" t="s">
        <v>954</v>
      </c>
      <c r="B21" s="35" t="s">
        <v>817</v>
      </c>
      <c r="C21" s="35"/>
      <c r="D21" s="35"/>
      <c r="E21" s="12">
        <f>TRUNC(E7+E10+E20, 0)</f>
        <v>0</v>
      </c>
      <c r="F21" s="10" t="s">
        <v>51</v>
      </c>
      <c r="G21" s="10" t="s">
        <v>51</v>
      </c>
    </row>
    <row r="22" spans="1:7" ht="21.95" customHeight="1" x14ac:dyDescent="0.3">
      <c r="A22" s="1" t="s">
        <v>955</v>
      </c>
      <c r="B22" s="35" t="s">
        <v>956</v>
      </c>
      <c r="C22" s="35"/>
      <c r="D22" s="35"/>
      <c r="E22" s="12">
        <f>TRUNC(E21*0.04, 0)</f>
        <v>0</v>
      </c>
      <c r="F22" s="10" t="s">
        <v>1024</v>
      </c>
      <c r="G22" s="10" t="s">
        <v>51</v>
      </c>
    </row>
    <row r="23" spans="1:7" ht="21.95" customHeight="1" x14ac:dyDescent="0.3">
      <c r="A23" s="1" t="s">
        <v>957</v>
      </c>
      <c r="B23" s="35" t="s">
        <v>958</v>
      </c>
      <c r="C23" s="35"/>
      <c r="D23" s="35"/>
      <c r="E23" s="12">
        <f>TRUNC((E10+E20+E22)*0.1, 0)</f>
        <v>0</v>
      </c>
      <c r="F23" s="10" t="s">
        <v>1025</v>
      </c>
      <c r="G23" s="10" t="s">
        <v>51</v>
      </c>
    </row>
    <row r="24" spans="1:7" ht="21.95" customHeight="1" x14ac:dyDescent="0.3">
      <c r="A24" s="1" t="s">
        <v>959</v>
      </c>
      <c r="B24" s="35" t="s">
        <v>960</v>
      </c>
      <c r="C24" s="35"/>
      <c r="D24" s="35"/>
      <c r="E24" s="12">
        <f>TRUNC(E21+E22+E23, 0)</f>
        <v>0</v>
      </c>
      <c r="F24" s="10" t="s">
        <v>51</v>
      </c>
      <c r="G24" s="10" t="s">
        <v>51</v>
      </c>
    </row>
    <row r="25" spans="1:7" ht="21.95" customHeight="1" x14ac:dyDescent="0.3">
      <c r="A25" s="1" t="s">
        <v>961</v>
      </c>
      <c r="B25" s="35" t="s">
        <v>962</v>
      </c>
      <c r="C25" s="35"/>
      <c r="D25" s="35"/>
      <c r="E25" s="12">
        <f>TRUNC(E24*0.1, 0)</f>
        <v>0</v>
      </c>
      <c r="F25" s="10" t="s">
        <v>963</v>
      </c>
      <c r="G25" s="10" t="s">
        <v>51</v>
      </c>
    </row>
    <row r="26" spans="1:7" ht="21.95" customHeight="1" x14ac:dyDescent="0.3">
      <c r="A26" s="1" t="s">
        <v>964</v>
      </c>
      <c r="B26" s="35" t="s">
        <v>965</v>
      </c>
      <c r="C26" s="35"/>
      <c r="D26" s="35"/>
      <c r="E26" s="12">
        <f>TRUNC(E24+E25, -3)</f>
        <v>0</v>
      </c>
      <c r="F26" s="10" t="s">
        <v>51</v>
      </c>
      <c r="G26" s="10" t="s">
        <v>1020</v>
      </c>
    </row>
    <row r="27" spans="1:7" ht="21.95" customHeight="1" x14ac:dyDescent="0.3">
      <c r="A27" s="1" t="s">
        <v>966</v>
      </c>
      <c r="B27" s="35" t="s">
        <v>967</v>
      </c>
      <c r="C27" s="35"/>
      <c r="D27" s="35"/>
      <c r="E27" s="12">
        <f>ROUNDUP(공종별집계표!T11, -3)</f>
        <v>0</v>
      </c>
      <c r="F27" s="10" t="s">
        <v>51</v>
      </c>
      <c r="G27" s="10" t="s">
        <v>1021</v>
      </c>
    </row>
    <row r="28" spans="1:7" ht="21.95" customHeight="1" x14ac:dyDescent="0.3">
      <c r="A28" s="1" t="s">
        <v>968</v>
      </c>
      <c r="B28" s="35" t="s">
        <v>969</v>
      </c>
      <c r="C28" s="35"/>
      <c r="D28" s="35"/>
      <c r="E28" s="12">
        <f>TRUNC(E26+E27, 0)</f>
        <v>0</v>
      </c>
      <c r="F28" s="10" t="s">
        <v>51</v>
      </c>
      <c r="G28" s="10" t="s">
        <v>51</v>
      </c>
    </row>
    <row r="29" spans="1:7" ht="21.95" customHeight="1" x14ac:dyDescent="0.3">
      <c r="A29" s="1" t="s">
        <v>970</v>
      </c>
      <c r="B29" s="35" t="s">
        <v>971</v>
      </c>
      <c r="C29" s="35"/>
      <c r="D29" s="35"/>
      <c r="E29" s="12">
        <f>TRUNC(공종별집계표!T14, 0)</f>
        <v>0</v>
      </c>
      <c r="F29" s="10" t="s">
        <v>51</v>
      </c>
      <c r="G29" s="10" t="s">
        <v>51</v>
      </c>
    </row>
    <row r="30" spans="1:7" ht="21.95" customHeight="1" x14ac:dyDescent="0.3">
      <c r="A30" s="1" t="s">
        <v>972</v>
      </c>
      <c r="B30" s="35" t="s">
        <v>973</v>
      </c>
      <c r="C30" s="35"/>
      <c r="D30" s="35"/>
      <c r="E30" s="12">
        <f>TRUNC(E28+E29, 0)</f>
        <v>0</v>
      </c>
      <c r="F30" s="10" t="s">
        <v>51</v>
      </c>
      <c r="G30" s="10" t="s">
        <v>51</v>
      </c>
    </row>
  </sheetData>
  <mergeCells count="18">
    <mergeCell ref="B27:D27"/>
    <mergeCell ref="B28:D28"/>
    <mergeCell ref="B29:D29"/>
    <mergeCell ref="B30:D30"/>
    <mergeCell ref="B21:D21"/>
    <mergeCell ref="B22:D22"/>
    <mergeCell ref="B23:D23"/>
    <mergeCell ref="B24:D24"/>
    <mergeCell ref="B25:D25"/>
    <mergeCell ref="B26:D26"/>
    <mergeCell ref="B1:G1"/>
    <mergeCell ref="B2:E2"/>
    <mergeCell ref="F2:G2"/>
    <mergeCell ref="B3:D3"/>
    <mergeCell ref="B4:B20"/>
    <mergeCell ref="C4:C7"/>
    <mergeCell ref="C8:C10"/>
    <mergeCell ref="C11:C20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5A741-16EF-4B2E-9F60-B4395A9773EF}">
  <sheetPr>
    <pageSetUpPr fitToPage="1"/>
  </sheetPr>
  <dimension ref="A1:T25"/>
  <sheetViews>
    <sheetView view="pageBreakPreview" zoomScale="80" zoomScaleNormal="100" zoomScaleSheetLayoutView="80" workbookViewId="0">
      <selection activeCell="A14" sqref="A1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7" t="s">
        <v>2</v>
      </c>
      <c r="B3" s="37" t="s">
        <v>3</v>
      </c>
      <c r="C3" s="37" t="s">
        <v>4</v>
      </c>
      <c r="D3" s="37" t="s">
        <v>5</v>
      </c>
      <c r="E3" s="37" t="s">
        <v>6</v>
      </c>
      <c r="F3" s="37"/>
      <c r="G3" s="37" t="s">
        <v>9</v>
      </c>
      <c r="H3" s="37"/>
      <c r="I3" s="37" t="s">
        <v>10</v>
      </c>
      <c r="J3" s="37"/>
      <c r="K3" s="37" t="s">
        <v>11</v>
      </c>
      <c r="L3" s="37"/>
      <c r="M3" s="37" t="s">
        <v>12</v>
      </c>
      <c r="N3" s="33" t="s">
        <v>13</v>
      </c>
      <c r="O3" s="33" t="s">
        <v>14</v>
      </c>
      <c r="P3" s="33" t="s">
        <v>15</v>
      </c>
      <c r="Q3" s="33" t="s">
        <v>16</v>
      </c>
      <c r="R3" s="33" t="s">
        <v>17</v>
      </c>
      <c r="S3" s="33" t="s">
        <v>18</v>
      </c>
      <c r="T3" s="33" t="s">
        <v>19</v>
      </c>
    </row>
    <row r="4" spans="1:20" ht="30" customHeight="1" x14ac:dyDescent="0.3">
      <c r="A4" s="38"/>
      <c r="B4" s="38"/>
      <c r="C4" s="38"/>
      <c r="D4" s="38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38"/>
      <c r="N4" s="33"/>
      <c r="O4" s="33"/>
      <c r="P4" s="33"/>
      <c r="Q4" s="33"/>
      <c r="R4" s="33"/>
      <c r="S4" s="33"/>
      <c r="T4" s="33"/>
    </row>
    <row r="5" spans="1:20" ht="30" customHeight="1" x14ac:dyDescent="0.3">
      <c r="A5" s="10" t="s">
        <v>1026</v>
      </c>
      <c r="B5" s="10" t="s">
        <v>51</v>
      </c>
      <c r="C5" s="10" t="s">
        <v>51</v>
      </c>
      <c r="D5" s="11">
        <v>1</v>
      </c>
      <c r="E5" s="12">
        <f>F6</f>
        <v>0</v>
      </c>
      <c r="F5" s="12">
        <f t="shared" ref="F5:F14" si="0">E5*D5</f>
        <v>0</v>
      </c>
      <c r="G5" s="12">
        <f>H6</f>
        <v>0</v>
      </c>
      <c r="H5" s="12">
        <f t="shared" ref="H5:H14" si="1">G5*D5</f>
        <v>0</v>
      </c>
      <c r="I5" s="12">
        <f>J6</f>
        <v>0</v>
      </c>
      <c r="J5" s="12">
        <f t="shared" ref="J5:J14" si="2">I5*D5</f>
        <v>0</v>
      </c>
      <c r="K5" s="12">
        <f t="shared" ref="K5:K14" si="3">E5+G5+I5</f>
        <v>0</v>
      </c>
      <c r="L5" s="12">
        <f t="shared" ref="L5:L14" si="4">F5+H5+J5</f>
        <v>0</v>
      </c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hidden="1" customHeight="1" x14ac:dyDescent="0.3">
      <c r="A6" s="10" t="s">
        <v>53</v>
      </c>
      <c r="B6" s="10" t="s">
        <v>51</v>
      </c>
      <c r="C6" s="10" t="s">
        <v>51</v>
      </c>
      <c r="D6" s="11">
        <v>1</v>
      </c>
      <c r="E6" s="12">
        <f>F7+F8+F9+F10</f>
        <v>0</v>
      </c>
      <c r="F6" s="12">
        <f t="shared" si="0"/>
        <v>0</v>
      </c>
      <c r="G6" s="12">
        <f>H7+H8+H9+H10</f>
        <v>0</v>
      </c>
      <c r="H6" s="12">
        <f t="shared" si="1"/>
        <v>0</v>
      </c>
      <c r="I6" s="12">
        <f>J7+J8+J9+J10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3">
      <c r="A7" s="10" t="s">
        <v>1027</v>
      </c>
      <c r="B7" s="10" t="s">
        <v>51</v>
      </c>
      <c r="C7" s="10" t="s">
        <v>51</v>
      </c>
      <c r="D7" s="11">
        <v>1</v>
      </c>
      <c r="E7" s="12">
        <f>공종별내역서!F27</f>
        <v>0</v>
      </c>
      <c r="F7" s="12">
        <f t="shared" si="0"/>
        <v>0</v>
      </c>
      <c r="G7" s="12">
        <f>공종별내역서!H27</f>
        <v>0</v>
      </c>
      <c r="H7" s="12">
        <f t="shared" si="1"/>
        <v>0</v>
      </c>
      <c r="I7" s="12">
        <f>공종별내역서!J27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51</v>
      </c>
      <c r="N7" s="1" t="s">
        <v>55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 x14ac:dyDescent="0.3">
      <c r="A8" s="10" t="s">
        <v>1028</v>
      </c>
      <c r="B8" s="10" t="s">
        <v>51</v>
      </c>
      <c r="C8" s="10" t="s">
        <v>51</v>
      </c>
      <c r="D8" s="11">
        <v>1</v>
      </c>
      <c r="E8" s="12">
        <f>공종별내역서!F51</f>
        <v>0</v>
      </c>
      <c r="F8" s="12">
        <f t="shared" si="0"/>
        <v>0</v>
      </c>
      <c r="G8" s="12">
        <f>공종별내역서!H51</f>
        <v>0</v>
      </c>
      <c r="H8" s="12">
        <f t="shared" si="1"/>
        <v>0</v>
      </c>
      <c r="I8" s="12">
        <f>공종별내역서!J51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51</v>
      </c>
      <c r="N8" s="1" t="s">
        <v>84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30" customHeight="1" x14ac:dyDescent="0.3">
      <c r="A9" s="10" t="s">
        <v>1033</v>
      </c>
      <c r="B9" s="10" t="s">
        <v>51</v>
      </c>
      <c r="C9" s="10" t="s">
        <v>51</v>
      </c>
      <c r="D9" s="11">
        <v>1</v>
      </c>
      <c r="E9" s="12">
        <f>공종별내역서!F75</f>
        <v>0</v>
      </c>
      <c r="F9" s="12">
        <f t="shared" si="0"/>
        <v>0</v>
      </c>
      <c r="G9" s="12">
        <f>공종별내역서!H75</f>
        <v>0</v>
      </c>
      <c r="H9" s="12">
        <f t="shared" si="1"/>
        <v>0</v>
      </c>
      <c r="I9" s="12">
        <f>공종별내역서!J75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51</v>
      </c>
      <c r="N9" s="1" t="s">
        <v>167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8"/>
    </row>
    <row r="10" spans="1:20" ht="30" customHeight="1" x14ac:dyDescent="0.3">
      <c r="A10" s="10" t="s">
        <v>1034</v>
      </c>
      <c r="B10" s="10" t="s">
        <v>51</v>
      </c>
      <c r="C10" s="10" t="s">
        <v>51</v>
      </c>
      <c r="D10" s="11">
        <v>1</v>
      </c>
      <c r="E10" s="12">
        <f>공종별내역서!F99</f>
        <v>0</v>
      </c>
      <c r="F10" s="12">
        <f t="shared" si="0"/>
        <v>0</v>
      </c>
      <c r="G10" s="12">
        <f>공종별내역서!H99</f>
        <v>0</v>
      </c>
      <c r="H10" s="12">
        <f t="shared" si="1"/>
        <v>0</v>
      </c>
      <c r="I10" s="12">
        <f>공종별내역서!J99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51</v>
      </c>
      <c r="N10" s="1" t="s">
        <v>196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8"/>
    </row>
    <row r="11" spans="1:20" ht="30" customHeight="1" x14ac:dyDescent="0.3">
      <c r="A11" s="10" t="s">
        <v>1029</v>
      </c>
      <c r="B11" s="10" t="s">
        <v>51</v>
      </c>
      <c r="C11" s="10" t="s">
        <v>51</v>
      </c>
      <c r="D11" s="11">
        <v>1</v>
      </c>
      <c r="E11" s="12">
        <f>F12</f>
        <v>0</v>
      </c>
      <c r="F11" s="12">
        <f t="shared" si="0"/>
        <v>0</v>
      </c>
      <c r="G11" s="12">
        <f>H12</f>
        <v>0</v>
      </c>
      <c r="H11" s="12">
        <f t="shared" si="1"/>
        <v>0</v>
      </c>
      <c r="I11" s="12">
        <f>J12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51</v>
      </c>
      <c r="N11" s="1" t="s">
        <v>225</v>
      </c>
      <c r="O11" s="1" t="s">
        <v>51</v>
      </c>
      <c r="P11" s="1" t="s">
        <v>51</v>
      </c>
      <c r="Q11" s="1" t="s">
        <v>226</v>
      </c>
      <c r="R11">
        <v>2</v>
      </c>
      <c r="S11" s="1" t="s">
        <v>51</v>
      </c>
      <c r="T11" s="8">
        <f>L11*1</f>
        <v>0</v>
      </c>
    </row>
    <row r="12" spans="1:20" ht="30" customHeight="1" x14ac:dyDescent="0.3">
      <c r="A12" s="10" t="s">
        <v>1030</v>
      </c>
      <c r="B12" s="10" t="s">
        <v>51</v>
      </c>
      <c r="C12" s="10" t="s">
        <v>51</v>
      </c>
      <c r="D12" s="11">
        <v>1</v>
      </c>
      <c r="E12" s="12">
        <f>공종별내역서!F123</f>
        <v>0</v>
      </c>
      <c r="F12" s="12">
        <f t="shared" si="0"/>
        <v>0</v>
      </c>
      <c r="G12" s="12">
        <f>공종별내역서!H123</f>
        <v>0</v>
      </c>
      <c r="H12" s="12">
        <f t="shared" si="1"/>
        <v>0</v>
      </c>
      <c r="I12" s="12">
        <f>공종별내역서!J123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51</v>
      </c>
      <c r="N12" s="1" t="s">
        <v>227</v>
      </c>
      <c r="O12" s="1" t="s">
        <v>51</v>
      </c>
      <c r="P12" s="1" t="s">
        <v>225</v>
      </c>
      <c r="Q12" s="1" t="s">
        <v>51</v>
      </c>
      <c r="R12">
        <v>3</v>
      </c>
      <c r="S12" s="1" t="s">
        <v>51</v>
      </c>
      <c r="T12" s="8"/>
    </row>
    <row r="13" spans="1:20" ht="30" customHeight="1" x14ac:dyDescent="0.3">
      <c r="A13" s="10" t="s">
        <v>1031</v>
      </c>
      <c r="B13" s="10" t="s">
        <v>51</v>
      </c>
      <c r="C13" s="10" t="s">
        <v>51</v>
      </c>
      <c r="D13" s="11">
        <v>1</v>
      </c>
      <c r="E13" s="12">
        <f>F14</f>
        <v>0</v>
      </c>
      <c r="F13" s="12">
        <f t="shared" si="0"/>
        <v>0</v>
      </c>
      <c r="G13" s="12">
        <f>H14</f>
        <v>0</v>
      </c>
      <c r="H13" s="12">
        <f t="shared" si="1"/>
        <v>0</v>
      </c>
      <c r="I13" s="12">
        <f>J14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51</v>
      </c>
      <c r="N13" s="1" t="s">
        <v>238</v>
      </c>
      <c r="O13" s="1" t="s">
        <v>51</v>
      </c>
      <c r="P13" s="1" t="s">
        <v>52</v>
      </c>
      <c r="Q13" s="1" t="s">
        <v>51</v>
      </c>
      <c r="R13">
        <v>2</v>
      </c>
      <c r="S13" s="1" t="s">
        <v>51</v>
      </c>
      <c r="T13" s="8"/>
    </row>
    <row r="14" spans="1:20" ht="30" customHeight="1" x14ac:dyDescent="0.3">
      <c r="A14" s="10" t="s">
        <v>1032</v>
      </c>
      <c r="B14" s="10" t="s">
        <v>51</v>
      </c>
      <c r="C14" s="10" t="s">
        <v>51</v>
      </c>
      <c r="D14" s="11">
        <v>1</v>
      </c>
      <c r="E14" s="12">
        <f>공종별내역서!F147</f>
        <v>0</v>
      </c>
      <c r="F14" s="12">
        <f t="shared" si="0"/>
        <v>0</v>
      </c>
      <c r="G14" s="12">
        <f>공종별내역서!H147</f>
        <v>0</v>
      </c>
      <c r="H14" s="12">
        <f t="shared" si="1"/>
        <v>0</v>
      </c>
      <c r="I14" s="12">
        <f>공종별내역서!J147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51</v>
      </c>
      <c r="N14" s="1" t="s">
        <v>240</v>
      </c>
      <c r="O14" s="1" t="s">
        <v>51</v>
      </c>
      <c r="P14" s="1" t="s">
        <v>51</v>
      </c>
      <c r="Q14" s="1" t="s">
        <v>241</v>
      </c>
      <c r="R14">
        <v>3</v>
      </c>
      <c r="S14" s="1" t="s">
        <v>51</v>
      </c>
      <c r="T14" s="8">
        <f>L14*1</f>
        <v>0</v>
      </c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0" t="s">
        <v>82</v>
      </c>
      <c r="B25" s="11"/>
      <c r="C25" s="11"/>
      <c r="D25" s="11"/>
      <c r="E25" s="11"/>
      <c r="F25" s="12">
        <f>F5</f>
        <v>0</v>
      </c>
      <c r="G25" s="11"/>
      <c r="H25" s="12">
        <f>H5</f>
        <v>0</v>
      </c>
      <c r="I25" s="11"/>
      <c r="J25" s="12">
        <f>J5</f>
        <v>0</v>
      </c>
      <c r="K25" s="11"/>
      <c r="L25" s="12">
        <f>L5</f>
        <v>0</v>
      </c>
      <c r="M25" s="11"/>
      <c r="T25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D3497-6F20-4E73-A8C9-8284DB035A90}">
  <sheetPr>
    <pageSetUpPr fitToPage="1"/>
  </sheetPr>
  <dimension ref="A1:AV147"/>
  <sheetViews>
    <sheetView view="pageBreakPreview" topLeftCell="A154" zoomScale="85" zoomScaleNormal="100" zoomScaleSheetLayoutView="85" workbookViewId="0">
      <selection activeCell="D4" sqref="D4:L14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37" t="s">
        <v>2</v>
      </c>
      <c r="B2" s="37" t="s">
        <v>3</v>
      </c>
      <c r="C2" s="37" t="s">
        <v>4</v>
      </c>
      <c r="D2" s="37" t="s">
        <v>5</v>
      </c>
      <c r="E2" s="37" t="s">
        <v>6</v>
      </c>
      <c r="F2" s="37"/>
      <c r="G2" s="37" t="s">
        <v>9</v>
      </c>
      <c r="H2" s="37"/>
      <c r="I2" s="37" t="s">
        <v>10</v>
      </c>
      <c r="J2" s="37"/>
      <c r="K2" s="37" t="s">
        <v>11</v>
      </c>
      <c r="L2" s="37"/>
      <c r="M2" s="37" t="s">
        <v>12</v>
      </c>
      <c r="N2" s="33" t="s">
        <v>20</v>
      </c>
      <c r="O2" s="33" t="s">
        <v>14</v>
      </c>
      <c r="P2" s="33" t="s">
        <v>21</v>
      </c>
      <c r="Q2" s="33" t="s">
        <v>13</v>
      </c>
      <c r="R2" s="33" t="s">
        <v>22</v>
      </c>
      <c r="S2" s="33" t="s">
        <v>23</v>
      </c>
      <c r="T2" s="33" t="s">
        <v>24</v>
      </c>
      <c r="U2" s="33" t="s">
        <v>25</v>
      </c>
      <c r="V2" s="33" t="s">
        <v>26</v>
      </c>
      <c r="W2" s="33" t="s">
        <v>27</v>
      </c>
      <c r="X2" s="33" t="s">
        <v>28</v>
      </c>
      <c r="Y2" s="33" t="s">
        <v>29</v>
      </c>
      <c r="Z2" s="33" t="s">
        <v>30</v>
      </c>
      <c r="AA2" s="33" t="s">
        <v>31</v>
      </c>
      <c r="AB2" s="33" t="s">
        <v>32</v>
      </c>
      <c r="AC2" s="33" t="s">
        <v>33</v>
      </c>
      <c r="AD2" s="33" t="s">
        <v>34</v>
      </c>
      <c r="AE2" s="33" t="s">
        <v>35</v>
      </c>
      <c r="AF2" s="33" t="s">
        <v>36</v>
      </c>
      <c r="AG2" s="33" t="s">
        <v>37</v>
      </c>
      <c r="AH2" s="33" t="s">
        <v>38</v>
      </c>
      <c r="AI2" s="33" t="s">
        <v>39</v>
      </c>
      <c r="AJ2" s="33" t="s">
        <v>40</v>
      </c>
      <c r="AK2" s="33" t="s">
        <v>41</v>
      </c>
      <c r="AL2" s="33" t="s">
        <v>42</v>
      </c>
      <c r="AM2" s="33" t="s">
        <v>43</v>
      </c>
      <c r="AN2" s="33" t="s">
        <v>44</v>
      </c>
      <c r="AO2" s="33" t="s">
        <v>45</v>
      </c>
      <c r="AP2" s="33" t="s">
        <v>46</v>
      </c>
      <c r="AQ2" s="33" t="s">
        <v>47</v>
      </c>
      <c r="AR2" s="33" t="s">
        <v>48</v>
      </c>
      <c r="AS2" s="33" t="s">
        <v>16</v>
      </c>
      <c r="AT2" s="33" t="s">
        <v>17</v>
      </c>
      <c r="AU2" s="33" t="s">
        <v>49</v>
      </c>
      <c r="AV2" s="33" t="s">
        <v>50</v>
      </c>
    </row>
    <row r="3" spans="1:48" ht="30" customHeight="1" x14ac:dyDescent="0.3">
      <c r="A3" s="37"/>
      <c r="B3" s="37"/>
      <c r="C3" s="37"/>
      <c r="D3" s="37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37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</row>
    <row r="4" spans="1:48" ht="30" customHeight="1" x14ac:dyDescent="0.3">
      <c r="A4" s="13" t="s">
        <v>1027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55</v>
      </c>
    </row>
    <row r="5" spans="1:48" ht="30" customHeight="1" x14ac:dyDescent="0.3">
      <c r="A5" s="13" t="s">
        <v>56</v>
      </c>
      <c r="B5" s="13" t="s">
        <v>57</v>
      </c>
      <c r="C5" s="13" t="s">
        <v>58</v>
      </c>
      <c r="D5" s="11"/>
      <c r="E5" s="12"/>
      <c r="F5" s="12"/>
      <c r="G5" s="12"/>
      <c r="H5" s="12"/>
      <c r="I5" s="12"/>
      <c r="J5" s="12"/>
      <c r="K5" s="12"/>
      <c r="L5" s="12"/>
      <c r="M5" s="13" t="s">
        <v>59</v>
      </c>
      <c r="N5" s="1" t="s">
        <v>60</v>
      </c>
      <c r="O5" s="1" t="s">
        <v>51</v>
      </c>
      <c r="P5" s="1" t="s">
        <v>51</v>
      </c>
      <c r="Q5" s="1" t="s">
        <v>55</v>
      </c>
      <c r="R5" s="1" t="s">
        <v>61</v>
      </c>
      <c r="S5" s="1" t="s">
        <v>62</v>
      </c>
      <c r="T5" s="1" t="s">
        <v>62</v>
      </c>
      <c r="AR5" s="1" t="s">
        <v>51</v>
      </c>
      <c r="AS5" s="1" t="s">
        <v>51</v>
      </c>
      <c r="AU5" s="1" t="s">
        <v>63</v>
      </c>
      <c r="AV5">
        <v>4</v>
      </c>
    </row>
    <row r="6" spans="1:48" ht="30" customHeight="1" x14ac:dyDescent="0.3">
      <c r="A6" s="13" t="s">
        <v>64</v>
      </c>
      <c r="B6" s="13" t="s">
        <v>65</v>
      </c>
      <c r="C6" s="13" t="s">
        <v>66</v>
      </c>
      <c r="D6" s="11"/>
      <c r="E6" s="12"/>
      <c r="F6" s="12"/>
      <c r="G6" s="12"/>
      <c r="H6" s="12"/>
      <c r="I6" s="12"/>
      <c r="J6" s="12"/>
      <c r="K6" s="12"/>
      <c r="L6" s="12"/>
      <c r="M6" s="13" t="s">
        <v>67</v>
      </c>
      <c r="N6" s="1" t="s">
        <v>68</v>
      </c>
      <c r="O6" s="1" t="s">
        <v>51</v>
      </c>
      <c r="P6" s="1" t="s">
        <v>51</v>
      </c>
      <c r="Q6" s="1" t="s">
        <v>55</v>
      </c>
      <c r="R6" s="1" t="s">
        <v>61</v>
      </c>
      <c r="S6" s="1" t="s">
        <v>62</v>
      </c>
      <c r="T6" s="1" t="s">
        <v>62</v>
      </c>
      <c r="AR6" s="1" t="s">
        <v>51</v>
      </c>
      <c r="AS6" s="1" t="s">
        <v>51</v>
      </c>
      <c r="AU6" s="1" t="s">
        <v>69</v>
      </c>
      <c r="AV6">
        <v>5</v>
      </c>
    </row>
    <row r="7" spans="1:48" ht="30" customHeight="1" x14ac:dyDescent="0.3">
      <c r="A7" s="13" t="s">
        <v>70</v>
      </c>
      <c r="B7" s="13" t="s">
        <v>71</v>
      </c>
      <c r="C7" s="13" t="s">
        <v>72</v>
      </c>
      <c r="D7" s="11"/>
      <c r="E7" s="12"/>
      <c r="F7" s="12"/>
      <c r="G7" s="12"/>
      <c r="H7" s="12"/>
      <c r="I7" s="12"/>
      <c r="J7" s="12"/>
      <c r="K7" s="12"/>
      <c r="L7" s="12"/>
      <c r="M7" s="13" t="s">
        <v>73</v>
      </c>
      <c r="N7" s="1" t="s">
        <v>74</v>
      </c>
      <c r="O7" s="1" t="s">
        <v>51</v>
      </c>
      <c r="P7" s="1" t="s">
        <v>51</v>
      </c>
      <c r="Q7" s="1" t="s">
        <v>55</v>
      </c>
      <c r="R7" s="1" t="s">
        <v>61</v>
      </c>
      <c r="S7" s="1" t="s">
        <v>62</v>
      </c>
      <c r="T7" s="1" t="s">
        <v>62</v>
      </c>
      <c r="AR7" s="1" t="s">
        <v>51</v>
      </c>
      <c r="AS7" s="1" t="s">
        <v>51</v>
      </c>
      <c r="AU7" s="1" t="s">
        <v>75</v>
      </c>
      <c r="AV7">
        <v>6</v>
      </c>
    </row>
    <row r="8" spans="1:48" ht="30" customHeight="1" x14ac:dyDescent="0.3">
      <c r="A8" s="13" t="s">
        <v>76</v>
      </c>
      <c r="B8" s="13" t="s">
        <v>77</v>
      </c>
      <c r="C8" s="13" t="s">
        <v>78</v>
      </c>
      <c r="D8" s="11"/>
      <c r="E8" s="12"/>
      <c r="F8" s="12"/>
      <c r="G8" s="12"/>
      <c r="H8" s="12"/>
      <c r="I8" s="12"/>
      <c r="J8" s="12"/>
      <c r="K8" s="12"/>
      <c r="L8" s="12"/>
      <c r="M8" s="13" t="s">
        <v>79</v>
      </c>
      <c r="N8" s="1" t="s">
        <v>80</v>
      </c>
      <c r="O8" s="1" t="s">
        <v>51</v>
      </c>
      <c r="P8" s="1" t="s">
        <v>51</v>
      </c>
      <c r="Q8" s="1" t="s">
        <v>55</v>
      </c>
      <c r="R8" s="1" t="s">
        <v>61</v>
      </c>
      <c r="S8" s="1" t="s">
        <v>62</v>
      </c>
      <c r="T8" s="1" t="s">
        <v>62</v>
      </c>
      <c r="AR8" s="1" t="s">
        <v>51</v>
      </c>
      <c r="AS8" s="1" t="s">
        <v>51</v>
      </c>
      <c r="AU8" s="1" t="s">
        <v>81</v>
      </c>
      <c r="AV8">
        <v>7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55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55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55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55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55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55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55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55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55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55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55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55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55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55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55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55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55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55</v>
      </c>
    </row>
    <row r="27" spans="1:48" ht="30" customHeight="1" x14ac:dyDescent="0.3">
      <c r="A27" s="13" t="s">
        <v>82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83</v>
      </c>
    </row>
    <row r="28" spans="1:48" ht="30" customHeight="1" x14ac:dyDescent="0.3">
      <c r="A28" s="13" t="s">
        <v>1028</v>
      </c>
      <c r="B28" s="13" t="s">
        <v>51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84</v>
      </c>
    </row>
    <row r="29" spans="1:48" ht="30" customHeight="1" x14ac:dyDescent="0.3">
      <c r="A29" s="13" t="s">
        <v>85</v>
      </c>
      <c r="B29" s="13" t="s">
        <v>86</v>
      </c>
      <c r="C29" s="13" t="s">
        <v>72</v>
      </c>
      <c r="D29" s="11"/>
      <c r="E29" s="12"/>
      <c r="F29" s="12"/>
      <c r="G29" s="12"/>
      <c r="H29" s="12"/>
      <c r="I29" s="12"/>
      <c r="J29" s="12"/>
      <c r="K29" s="12"/>
      <c r="L29" s="12"/>
      <c r="M29" s="13" t="s">
        <v>51</v>
      </c>
      <c r="N29" s="1" t="s">
        <v>87</v>
      </c>
      <c r="O29" s="1" t="s">
        <v>51</v>
      </c>
      <c r="P29" s="1" t="s">
        <v>51</v>
      </c>
      <c r="Q29" s="1" t="s">
        <v>84</v>
      </c>
      <c r="R29" s="1" t="s">
        <v>62</v>
      </c>
      <c r="S29" s="1" t="s">
        <v>62</v>
      </c>
      <c r="T29" s="1" t="s">
        <v>61</v>
      </c>
      <c r="AR29" s="1" t="s">
        <v>51</v>
      </c>
      <c r="AS29" s="1" t="s">
        <v>51</v>
      </c>
      <c r="AU29" s="1" t="s">
        <v>88</v>
      </c>
      <c r="AV29">
        <v>9</v>
      </c>
    </row>
    <row r="30" spans="1:48" ht="30" customHeight="1" x14ac:dyDescent="0.3">
      <c r="A30" s="13" t="s">
        <v>64</v>
      </c>
      <c r="B30" s="13" t="s">
        <v>89</v>
      </c>
      <c r="C30" s="13" t="s">
        <v>66</v>
      </c>
      <c r="D30" s="11"/>
      <c r="E30" s="12"/>
      <c r="F30" s="12"/>
      <c r="G30" s="12"/>
      <c r="H30" s="12"/>
      <c r="I30" s="12"/>
      <c r="J30" s="12"/>
      <c r="K30" s="12"/>
      <c r="L30" s="12"/>
      <c r="M30" s="13" t="s">
        <v>90</v>
      </c>
      <c r="N30" s="1" t="s">
        <v>91</v>
      </c>
      <c r="O30" s="1" t="s">
        <v>51</v>
      </c>
      <c r="P30" s="1" t="s">
        <v>51</v>
      </c>
      <c r="Q30" s="1" t="s">
        <v>84</v>
      </c>
      <c r="R30" s="1" t="s">
        <v>61</v>
      </c>
      <c r="S30" s="1" t="s">
        <v>62</v>
      </c>
      <c r="T30" s="1" t="s">
        <v>62</v>
      </c>
      <c r="AR30" s="1" t="s">
        <v>51</v>
      </c>
      <c r="AS30" s="1" t="s">
        <v>51</v>
      </c>
      <c r="AU30" s="1" t="s">
        <v>92</v>
      </c>
      <c r="AV30">
        <v>10</v>
      </c>
    </row>
    <row r="31" spans="1:48" ht="30" customHeight="1" x14ac:dyDescent="0.3">
      <c r="A31" s="13" t="s">
        <v>93</v>
      </c>
      <c r="B31" s="13" t="s">
        <v>94</v>
      </c>
      <c r="C31" s="13" t="s">
        <v>72</v>
      </c>
      <c r="D31" s="11"/>
      <c r="E31" s="12"/>
      <c r="F31" s="12"/>
      <c r="G31" s="12"/>
      <c r="H31" s="12"/>
      <c r="I31" s="12"/>
      <c r="J31" s="12"/>
      <c r="K31" s="12"/>
      <c r="L31" s="12"/>
      <c r="M31" s="13" t="s">
        <v>51</v>
      </c>
      <c r="N31" s="1" t="s">
        <v>95</v>
      </c>
      <c r="O31" s="1" t="s">
        <v>51</v>
      </c>
      <c r="P31" s="1" t="s">
        <v>51</v>
      </c>
      <c r="Q31" s="1" t="s">
        <v>84</v>
      </c>
      <c r="R31" s="1" t="s">
        <v>62</v>
      </c>
      <c r="S31" s="1" t="s">
        <v>62</v>
      </c>
      <c r="T31" s="1" t="s">
        <v>61</v>
      </c>
      <c r="AR31" s="1" t="s">
        <v>51</v>
      </c>
      <c r="AS31" s="1" t="s">
        <v>51</v>
      </c>
      <c r="AU31" s="1" t="s">
        <v>96</v>
      </c>
      <c r="AV31">
        <v>11</v>
      </c>
    </row>
    <row r="32" spans="1:48" ht="30" customHeight="1" x14ac:dyDescent="0.3">
      <c r="A32" s="13" t="s">
        <v>64</v>
      </c>
      <c r="B32" s="13" t="s">
        <v>97</v>
      </c>
      <c r="C32" s="13" t="s">
        <v>66</v>
      </c>
      <c r="D32" s="11"/>
      <c r="E32" s="12"/>
      <c r="F32" s="12"/>
      <c r="G32" s="12"/>
      <c r="H32" s="12"/>
      <c r="I32" s="12"/>
      <c r="J32" s="12"/>
      <c r="K32" s="12"/>
      <c r="L32" s="12"/>
      <c r="M32" s="13" t="s">
        <v>98</v>
      </c>
      <c r="N32" s="1" t="s">
        <v>99</v>
      </c>
      <c r="O32" s="1" t="s">
        <v>51</v>
      </c>
      <c r="P32" s="1" t="s">
        <v>51</v>
      </c>
      <c r="Q32" s="1" t="s">
        <v>84</v>
      </c>
      <c r="R32" s="1" t="s">
        <v>61</v>
      </c>
      <c r="S32" s="1" t="s">
        <v>62</v>
      </c>
      <c r="T32" s="1" t="s">
        <v>62</v>
      </c>
      <c r="AR32" s="1" t="s">
        <v>51</v>
      </c>
      <c r="AS32" s="1" t="s">
        <v>51</v>
      </c>
      <c r="AU32" s="1" t="s">
        <v>100</v>
      </c>
      <c r="AV32">
        <v>12</v>
      </c>
    </row>
    <row r="33" spans="1:48" ht="30" customHeight="1" x14ac:dyDescent="0.3">
      <c r="A33" s="13" t="s">
        <v>101</v>
      </c>
      <c r="B33" s="13" t="s">
        <v>102</v>
      </c>
      <c r="C33" s="13" t="s">
        <v>66</v>
      </c>
      <c r="D33" s="11"/>
      <c r="E33" s="12"/>
      <c r="F33" s="12"/>
      <c r="G33" s="12"/>
      <c r="H33" s="12"/>
      <c r="I33" s="12"/>
      <c r="J33" s="12"/>
      <c r="K33" s="12"/>
      <c r="L33" s="12"/>
      <c r="M33" s="13" t="s">
        <v>103</v>
      </c>
      <c r="N33" s="1" t="s">
        <v>104</v>
      </c>
      <c r="O33" s="1" t="s">
        <v>51</v>
      </c>
      <c r="P33" s="1" t="s">
        <v>51</v>
      </c>
      <c r="Q33" s="1" t="s">
        <v>84</v>
      </c>
      <c r="R33" s="1" t="s">
        <v>61</v>
      </c>
      <c r="S33" s="1" t="s">
        <v>62</v>
      </c>
      <c r="T33" s="1" t="s">
        <v>62</v>
      </c>
      <c r="AR33" s="1" t="s">
        <v>51</v>
      </c>
      <c r="AS33" s="1" t="s">
        <v>51</v>
      </c>
      <c r="AU33" s="1" t="s">
        <v>105</v>
      </c>
      <c r="AV33">
        <v>13</v>
      </c>
    </row>
    <row r="34" spans="1:48" ht="30" customHeight="1" x14ac:dyDescent="0.3">
      <c r="A34" s="13" t="s">
        <v>106</v>
      </c>
      <c r="B34" s="13" t="s">
        <v>107</v>
      </c>
      <c r="C34" s="13" t="s">
        <v>66</v>
      </c>
      <c r="D34" s="11"/>
      <c r="E34" s="12"/>
      <c r="F34" s="12"/>
      <c r="G34" s="12"/>
      <c r="H34" s="12"/>
      <c r="I34" s="12"/>
      <c r="J34" s="12"/>
      <c r="K34" s="12"/>
      <c r="L34" s="12"/>
      <c r="M34" s="13" t="s">
        <v>108</v>
      </c>
      <c r="N34" s="1" t="s">
        <v>109</v>
      </c>
      <c r="O34" s="1" t="s">
        <v>51</v>
      </c>
      <c r="P34" s="1" t="s">
        <v>51</v>
      </c>
      <c r="Q34" s="1" t="s">
        <v>84</v>
      </c>
      <c r="R34" s="1" t="s">
        <v>61</v>
      </c>
      <c r="S34" s="1" t="s">
        <v>62</v>
      </c>
      <c r="T34" s="1" t="s">
        <v>62</v>
      </c>
      <c r="AR34" s="1" t="s">
        <v>51</v>
      </c>
      <c r="AS34" s="1" t="s">
        <v>51</v>
      </c>
      <c r="AU34" s="1" t="s">
        <v>110</v>
      </c>
      <c r="AV34">
        <v>14</v>
      </c>
    </row>
    <row r="35" spans="1:48" ht="30" customHeight="1" x14ac:dyDescent="0.3">
      <c r="A35" s="13" t="s">
        <v>111</v>
      </c>
      <c r="B35" s="13" t="s">
        <v>112</v>
      </c>
      <c r="C35" s="13" t="s">
        <v>66</v>
      </c>
      <c r="D35" s="11"/>
      <c r="E35" s="12"/>
      <c r="F35" s="12"/>
      <c r="G35" s="12"/>
      <c r="H35" s="12"/>
      <c r="I35" s="12"/>
      <c r="J35" s="12"/>
      <c r="K35" s="12"/>
      <c r="L35" s="12"/>
      <c r="M35" s="13" t="s">
        <v>113</v>
      </c>
      <c r="N35" s="1" t="s">
        <v>114</v>
      </c>
      <c r="O35" s="1" t="s">
        <v>51</v>
      </c>
      <c r="P35" s="1" t="s">
        <v>51</v>
      </c>
      <c r="Q35" s="1" t="s">
        <v>84</v>
      </c>
      <c r="R35" s="1" t="s">
        <v>61</v>
      </c>
      <c r="S35" s="1" t="s">
        <v>62</v>
      </c>
      <c r="T35" s="1" t="s">
        <v>62</v>
      </c>
      <c r="AR35" s="1" t="s">
        <v>51</v>
      </c>
      <c r="AS35" s="1" t="s">
        <v>51</v>
      </c>
      <c r="AU35" s="1" t="s">
        <v>115</v>
      </c>
      <c r="AV35">
        <v>15</v>
      </c>
    </row>
    <row r="36" spans="1:48" ht="30" customHeight="1" x14ac:dyDescent="0.3">
      <c r="A36" s="13" t="s">
        <v>116</v>
      </c>
      <c r="B36" s="13" t="s">
        <v>117</v>
      </c>
      <c r="C36" s="13" t="s">
        <v>66</v>
      </c>
      <c r="D36" s="11"/>
      <c r="E36" s="12"/>
      <c r="F36" s="12"/>
      <c r="G36" s="12"/>
      <c r="H36" s="12"/>
      <c r="I36" s="12"/>
      <c r="J36" s="12"/>
      <c r="K36" s="12"/>
      <c r="L36" s="12"/>
      <c r="M36" s="13" t="s">
        <v>118</v>
      </c>
      <c r="N36" s="1" t="s">
        <v>119</v>
      </c>
      <c r="O36" s="1" t="s">
        <v>51</v>
      </c>
      <c r="P36" s="1" t="s">
        <v>51</v>
      </c>
      <c r="Q36" s="1" t="s">
        <v>84</v>
      </c>
      <c r="R36" s="1" t="s">
        <v>61</v>
      </c>
      <c r="S36" s="1" t="s">
        <v>62</v>
      </c>
      <c r="T36" s="1" t="s">
        <v>62</v>
      </c>
      <c r="AR36" s="1" t="s">
        <v>51</v>
      </c>
      <c r="AS36" s="1" t="s">
        <v>51</v>
      </c>
      <c r="AU36" s="1" t="s">
        <v>120</v>
      </c>
      <c r="AV36">
        <v>16</v>
      </c>
    </row>
    <row r="37" spans="1:48" ht="30" customHeight="1" x14ac:dyDescent="0.3">
      <c r="A37" s="13" t="s">
        <v>116</v>
      </c>
      <c r="B37" s="13" t="s">
        <v>121</v>
      </c>
      <c r="C37" s="13" t="s">
        <v>66</v>
      </c>
      <c r="D37" s="11"/>
      <c r="E37" s="12"/>
      <c r="F37" s="12"/>
      <c r="G37" s="12"/>
      <c r="H37" s="12"/>
      <c r="I37" s="12"/>
      <c r="J37" s="12"/>
      <c r="K37" s="12"/>
      <c r="L37" s="12"/>
      <c r="M37" s="13" t="s">
        <v>122</v>
      </c>
      <c r="N37" s="1" t="s">
        <v>123</v>
      </c>
      <c r="O37" s="1" t="s">
        <v>51</v>
      </c>
      <c r="P37" s="1" t="s">
        <v>51</v>
      </c>
      <c r="Q37" s="1" t="s">
        <v>84</v>
      </c>
      <c r="R37" s="1" t="s">
        <v>61</v>
      </c>
      <c r="S37" s="1" t="s">
        <v>62</v>
      </c>
      <c r="T37" s="1" t="s">
        <v>62</v>
      </c>
      <c r="AR37" s="1" t="s">
        <v>51</v>
      </c>
      <c r="AS37" s="1" t="s">
        <v>51</v>
      </c>
      <c r="AU37" s="1" t="s">
        <v>124</v>
      </c>
      <c r="AV37">
        <v>17</v>
      </c>
    </row>
    <row r="38" spans="1:48" ht="30" customHeight="1" x14ac:dyDescent="0.3">
      <c r="A38" s="13" t="s">
        <v>116</v>
      </c>
      <c r="B38" s="13" t="s">
        <v>125</v>
      </c>
      <c r="C38" s="13" t="s">
        <v>66</v>
      </c>
      <c r="D38" s="11"/>
      <c r="E38" s="12"/>
      <c r="F38" s="12"/>
      <c r="G38" s="12"/>
      <c r="H38" s="12"/>
      <c r="I38" s="12"/>
      <c r="J38" s="12"/>
      <c r="K38" s="12"/>
      <c r="L38" s="12"/>
      <c r="M38" s="13" t="s">
        <v>126</v>
      </c>
      <c r="N38" s="1" t="s">
        <v>127</v>
      </c>
      <c r="O38" s="1" t="s">
        <v>51</v>
      </c>
      <c r="P38" s="1" t="s">
        <v>51</v>
      </c>
      <c r="Q38" s="1" t="s">
        <v>84</v>
      </c>
      <c r="R38" s="1" t="s">
        <v>61</v>
      </c>
      <c r="S38" s="1" t="s">
        <v>62</v>
      </c>
      <c r="T38" s="1" t="s">
        <v>62</v>
      </c>
      <c r="AR38" s="1" t="s">
        <v>51</v>
      </c>
      <c r="AS38" s="1" t="s">
        <v>51</v>
      </c>
      <c r="AU38" s="1" t="s">
        <v>128</v>
      </c>
      <c r="AV38">
        <v>18</v>
      </c>
    </row>
    <row r="39" spans="1:48" ht="30" customHeight="1" x14ac:dyDescent="0.3">
      <c r="A39" s="13" t="s">
        <v>129</v>
      </c>
      <c r="B39" s="13" t="s">
        <v>130</v>
      </c>
      <c r="C39" s="13" t="s">
        <v>72</v>
      </c>
      <c r="D39" s="11"/>
      <c r="E39" s="12"/>
      <c r="F39" s="12"/>
      <c r="G39" s="12"/>
      <c r="H39" s="12"/>
      <c r="I39" s="12"/>
      <c r="J39" s="12"/>
      <c r="K39" s="12"/>
      <c r="L39" s="12"/>
      <c r="M39" s="13" t="s">
        <v>131</v>
      </c>
      <c r="N39" s="1" t="s">
        <v>132</v>
      </c>
      <c r="O39" s="1" t="s">
        <v>51</v>
      </c>
      <c r="P39" s="1" t="s">
        <v>51</v>
      </c>
      <c r="Q39" s="1" t="s">
        <v>84</v>
      </c>
      <c r="R39" s="1" t="s">
        <v>61</v>
      </c>
      <c r="S39" s="1" t="s">
        <v>62</v>
      </c>
      <c r="T39" s="1" t="s">
        <v>62</v>
      </c>
      <c r="AR39" s="1" t="s">
        <v>51</v>
      </c>
      <c r="AS39" s="1" t="s">
        <v>51</v>
      </c>
      <c r="AU39" s="1" t="s">
        <v>133</v>
      </c>
      <c r="AV39">
        <v>19</v>
      </c>
    </row>
    <row r="40" spans="1:48" ht="30" customHeight="1" x14ac:dyDescent="0.3">
      <c r="A40" s="13" t="s">
        <v>134</v>
      </c>
      <c r="B40" s="13" t="s">
        <v>135</v>
      </c>
      <c r="C40" s="13" t="s">
        <v>72</v>
      </c>
      <c r="D40" s="11"/>
      <c r="E40" s="12"/>
      <c r="F40" s="12"/>
      <c r="G40" s="12"/>
      <c r="H40" s="12"/>
      <c r="I40" s="12"/>
      <c r="J40" s="12"/>
      <c r="K40" s="12"/>
      <c r="L40" s="12"/>
      <c r="M40" s="13" t="s">
        <v>136</v>
      </c>
      <c r="N40" s="1" t="s">
        <v>137</v>
      </c>
      <c r="O40" s="1" t="s">
        <v>51</v>
      </c>
      <c r="P40" s="1" t="s">
        <v>51</v>
      </c>
      <c r="Q40" s="1" t="s">
        <v>84</v>
      </c>
      <c r="R40" s="1" t="s">
        <v>61</v>
      </c>
      <c r="S40" s="1" t="s">
        <v>62</v>
      </c>
      <c r="T40" s="1" t="s">
        <v>62</v>
      </c>
      <c r="AR40" s="1" t="s">
        <v>51</v>
      </c>
      <c r="AS40" s="1" t="s">
        <v>51</v>
      </c>
      <c r="AU40" s="1" t="s">
        <v>138</v>
      </c>
      <c r="AV40">
        <v>20</v>
      </c>
    </row>
    <row r="41" spans="1:48" ht="30" customHeight="1" x14ac:dyDescent="0.3">
      <c r="A41" s="13" t="s">
        <v>139</v>
      </c>
      <c r="B41" s="13" t="s">
        <v>140</v>
      </c>
      <c r="C41" s="13" t="s">
        <v>66</v>
      </c>
      <c r="D41" s="11"/>
      <c r="E41" s="12"/>
      <c r="F41" s="12"/>
      <c r="G41" s="12"/>
      <c r="H41" s="12"/>
      <c r="I41" s="12"/>
      <c r="J41" s="12"/>
      <c r="K41" s="12"/>
      <c r="L41" s="12"/>
      <c r="M41" s="13" t="s">
        <v>141</v>
      </c>
      <c r="N41" s="1" t="s">
        <v>142</v>
      </c>
      <c r="O41" s="1" t="s">
        <v>51</v>
      </c>
      <c r="P41" s="1" t="s">
        <v>51</v>
      </c>
      <c r="Q41" s="1" t="s">
        <v>84</v>
      </c>
      <c r="R41" s="1" t="s">
        <v>61</v>
      </c>
      <c r="S41" s="1" t="s">
        <v>62</v>
      </c>
      <c r="T41" s="1" t="s">
        <v>62</v>
      </c>
      <c r="AR41" s="1" t="s">
        <v>51</v>
      </c>
      <c r="AS41" s="1" t="s">
        <v>51</v>
      </c>
      <c r="AU41" s="1" t="s">
        <v>143</v>
      </c>
      <c r="AV41">
        <v>21</v>
      </c>
    </row>
    <row r="42" spans="1:48" ht="30" customHeight="1" x14ac:dyDescent="0.3">
      <c r="A42" s="13" t="s">
        <v>106</v>
      </c>
      <c r="B42" s="13" t="s">
        <v>144</v>
      </c>
      <c r="C42" s="13" t="s">
        <v>66</v>
      </c>
      <c r="D42" s="11"/>
      <c r="E42" s="12"/>
      <c r="F42" s="12"/>
      <c r="G42" s="12"/>
      <c r="H42" s="12"/>
      <c r="I42" s="12"/>
      <c r="J42" s="12"/>
      <c r="K42" s="12"/>
      <c r="L42" s="12"/>
      <c r="M42" s="13" t="s">
        <v>145</v>
      </c>
      <c r="N42" s="1" t="s">
        <v>146</v>
      </c>
      <c r="O42" s="1" t="s">
        <v>51</v>
      </c>
      <c r="P42" s="1" t="s">
        <v>51</v>
      </c>
      <c r="Q42" s="1" t="s">
        <v>84</v>
      </c>
      <c r="R42" s="1" t="s">
        <v>61</v>
      </c>
      <c r="S42" s="1" t="s">
        <v>62</v>
      </c>
      <c r="T42" s="1" t="s">
        <v>62</v>
      </c>
      <c r="AR42" s="1" t="s">
        <v>51</v>
      </c>
      <c r="AS42" s="1" t="s">
        <v>51</v>
      </c>
      <c r="AU42" s="1" t="s">
        <v>147</v>
      </c>
      <c r="AV42">
        <v>22</v>
      </c>
    </row>
    <row r="43" spans="1:48" ht="30" customHeight="1" x14ac:dyDescent="0.3">
      <c r="A43" s="13" t="s">
        <v>106</v>
      </c>
      <c r="B43" s="13" t="s">
        <v>148</v>
      </c>
      <c r="C43" s="13" t="s">
        <v>66</v>
      </c>
      <c r="D43" s="11"/>
      <c r="E43" s="12"/>
      <c r="F43" s="12"/>
      <c r="G43" s="12"/>
      <c r="H43" s="12"/>
      <c r="I43" s="12"/>
      <c r="J43" s="12"/>
      <c r="K43" s="12"/>
      <c r="L43" s="12"/>
      <c r="M43" s="13" t="s">
        <v>149</v>
      </c>
      <c r="N43" s="1" t="s">
        <v>150</v>
      </c>
      <c r="O43" s="1" t="s">
        <v>51</v>
      </c>
      <c r="P43" s="1" t="s">
        <v>51</v>
      </c>
      <c r="Q43" s="1" t="s">
        <v>84</v>
      </c>
      <c r="R43" s="1" t="s">
        <v>61</v>
      </c>
      <c r="S43" s="1" t="s">
        <v>62</v>
      </c>
      <c r="T43" s="1" t="s">
        <v>62</v>
      </c>
      <c r="AR43" s="1" t="s">
        <v>51</v>
      </c>
      <c r="AS43" s="1" t="s">
        <v>51</v>
      </c>
      <c r="AU43" s="1" t="s">
        <v>151</v>
      </c>
      <c r="AV43">
        <v>23</v>
      </c>
    </row>
    <row r="44" spans="1:48" ht="30" customHeight="1" x14ac:dyDescent="0.3">
      <c r="A44" s="13" t="s">
        <v>106</v>
      </c>
      <c r="B44" s="13" t="s">
        <v>152</v>
      </c>
      <c r="C44" s="13" t="s">
        <v>66</v>
      </c>
      <c r="D44" s="11"/>
      <c r="E44" s="12"/>
      <c r="F44" s="12"/>
      <c r="G44" s="12"/>
      <c r="H44" s="12"/>
      <c r="I44" s="12"/>
      <c r="J44" s="12"/>
      <c r="K44" s="12"/>
      <c r="L44" s="12"/>
      <c r="M44" s="13" t="s">
        <v>153</v>
      </c>
      <c r="N44" s="1" t="s">
        <v>154</v>
      </c>
      <c r="O44" s="1" t="s">
        <v>51</v>
      </c>
      <c r="P44" s="1" t="s">
        <v>51</v>
      </c>
      <c r="Q44" s="1" t="s">
        <v>84</v>
      </c>
      <c r="R44" s="1" t="s">
        <v>61</v>
      </c>
      <c r="S44" s="1" t="s">
        <v>62</v>
      </c>
      <c r="T44" s="1" t="s">
        <v>62</v>
      </c>
      <c r="AR44" s="1" t="s">
        <v>51</v>
      </c>
      <c r="AS44" s="1" t="s">
        <v>51</v>
      </c>
      <c r="AU44" s="1" t="s">
        <v>155</v>
      </c>
      <c r="AV44">
        <v>24</v>
      </c>
    </row>
    <row r="45" spans="1:48" ht="30" customHeight="1" x14ac:dyDescent="0.3">
      <c r="A45" s="13" t="s">
        <v>111</v>
      </c>
      <c r="B45" s="13" t="s">
        <v>156</v>
      </c>
      <c r="C45" s="13" t="s">
        <v>66</v>
      </c>
      <c r="D45" s="11"/>
      <c r="E45" s="12"/>
      <c r="F45" s="12"/>
      <c r="G45" s="12"/>
      <c r="H45" s="12"/>
      <c r="I45" s="12"/>
      <c r="J45" s="12"/>
      <c r="K45" s="12"/>
      <c r="L45" s="12"/>
      <c r="M45" s="13" t="s">
        <v>157</v>
      </c>
      <c r="N45" s="1" t="s">
        <v>158</v>
      </c>
      <c r="O45" s="1" t="s">
        <v>51</v>
      </c>
      <c r="P45" s="1" t="s">
        <v>51</v>
      </c>
      <c r="Q45" s="1" t="s">
        <v>84</v>
      </c>
      <c r="R45" s="1" t="s">
        <v>61</v>
      </c>
      <c r="S45" s="1" t="s">
        <v>62</v>
      </c>
      <c r="T45" s="1" t="s">
        <v>62</v>
      </c>
      <c r="AR45" s="1" t="s">
        <v>51</v>
      </c>
      <c r="AS45" s="1" t="s">
        <v>51</v>
      </c>
      <c r="AU45" s="1" t="s">
        <v>159</v>
      </c>
      <c r="AV45">
        <v>25</v>
      </c>
    </row>
    <row r="46" spans="1:48" ht="30" customHeight="1" x14ac:dyDescent="0.3">
      <c r="A46" s="13" t="s">
        <v>160</v>
      </c>
      <c r="B46" s="13" t="s">
        <v>161</v>
      </c>
      <c r="C46" s="13" t="s">
        <v>72</v>
      </c>
      <c r="D46" s="11"/>
      <c r="E46" s="12"/>
      <c r="F46" s="12"/>
      <c r="G46" s="12"/>
      <c r="H46" s="12"/>
      <c r="I46" s="12"/>
      <c r="J46" s="12"/>
      <c r="K46" s="12"/>
      <c r="L46" s="12"/>
      <c r="M46" s="13" t="s">
        <v>162</v>
      </c>
      <c r="N46" s="1" t="s">
        <v>163</v>
      </c>
      <c r="O46" s="1" t="s">
        <v>51</v>
      </c>
      <c r="P46" s="1" t="s">
        <v>51</v>
      </c>
      <c r="Q46" s="1" t="s">
        <v>84</v>
      </c>
      <c r="R46" s="1" t="s">
        <v>61</v>
      </c>
      <c r="S46" s="1" t="s">
        <v>62</v>
      </c>
      <c r="T46" s="1" t="s">
        <v>62</v>
      </c>
      <c r="AR46" s="1" t="s">
        <v>51</v>
      </c>
      <c r="AS46" s="1" t="s">
        <v>51</v>
      </c>
      <c r="AU46" s="1" t="s">
        <v>164</v>
      </c>
      <c r="AV46">
        <v>26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84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84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84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84</v>
      </c>
    </row>
    <row r="51" spans="1:48" ht="30" customHeight="1" x14ac:dyDescent="0.3">
      <c r="A51" s="13" t="s">
        <v>82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83</v>
      </c>
    </row>
    <row r="52" spans="1:48" ht="30" customHeight="1" x14ac:dyDescent="0.3">
      <c r="A52" s="13" t="s">
        <v>1033</v>
      </c>
      <c r="B52" s="13" t="s">
        <v>51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167</v>
      </c>
    </row>
    <row r="53" spans="1:48" ht="30" customHeight="1" x14ac:dyDescent="0.3">
      <c r="A53" s="13" t="s">
        <v>168</v>
      </c>
      <c r="B53" s="13" t="s">
        <v>169</v>
      </c>
      <c r="C53" s="13" t="s">
        <v>66</v>
      </c>
      <c r="D53" s="11"/>
      <c r="E53" s="12"/>
      <c r="F53" s="12"/>
      <c r="G53" s="12"/>
      <c r="H53" s="12"/>
      <c r="I53" s="12"/>
      <c r="J53" s="12"/>
      <c r="K53" s="12"/>
      <c r="L53" s="12"/>
      <c r="M53" s="13" t="s">
        <v>170</v>
      </c>
      <c r="N53" s="1" t="s">
        <v>171</v>
      </c>
      <c r="O53" s="1" t="s">
        <v>51</v>
      </c>
      <c r="P53" s="1" t="s">
        <v>51</v>
      </c>
      <c r="Q53" s="1" t="s">
        <v>167</v>
      </c>
      <c r="R53" s="1" t="s">
        <v>61</v>
      </c>
      <c r="S53" s="1" t="s">
        <v>62</v>
      </c>
      <c r="T53" s="1" t="s">
        <v>62</v>
      </c>
      <c r="AR53" s="1" t="s">
        <v>51</v>
      </c>
      <c r="AS53" s="1" t="s">
        <v>51</v>
      </c>
      <c r="AU53" s="1" t="s">
        <v>172</v>
      </c>
      <c r="AV53">
        <v>33</v>
      </c>
    </row>
    <row r="54" spans="1:48" ht="30" customHeight="1" x14ac:dyDescent="0.3">
      <c r="A54" s="13" t="s">
        <v>116</v>
      </c>
      <c r="B54" s="13" t="s">
        <v>117</v>
      </c>
      <c r="C54" s="13" t="s">
        <v>66</v>
      </c>
      <c r="D54" s="11"/>
      <c r="E54" s="12"/>
      <c r="F54" s="12"/>
      <c r="G54" s="12"/>
      <c r="H54" s="12"/>
      <c r="I54" s="12"/>
      <c r="J54" s="12"/>
      <c r="K54" s="12"/>
      <c r="L54" s="12"/>
      <c r="M54" s="13" t="s">
        <v>118</v>
      </c>
      <c r="N54" s="1" t="s">
        <v>119</v>
      </c>
      <c r="O54" s="1" t="s">
        <v>51</v>
      </c>
      <c r="P54" s="1" t="s">
        <v>51</v>
      </c>
      <c r="Q54" s="1" t="s">
        <v>167</v>
      </c>
      <c r="R54" s="1" t="s">
        <v>61</v>
      </c>
      <c r="S54" s="1" t="s">
        <v>62</v>
      </c>
      <c r="T54" s="1" t="s">
        <v>62</v>
      </c>
      <c r="AR54" s="1" t="s">
        <v>51</v>
      </c>
      <c r="AS54" s="1" t="s">
        <v>51</v>
      </c>
      <c r="AU54" s="1" t="s">
        <v>173</v>
      </c>
      <c r="AV54">
        <v>34</v>
      </c>
    </row>
    <row r="55" spans="1:48" ht="30" customHeight="1" x14ac:dyDescent="0.3">
      <c r="A55" s="13" t="s">
        <v>116</v>
      </c>
      <c r="B55" s="13" t="s">
        <v>121</v>
      </c>
      <c r="C55" s="13" t="s">
        <v>66</v>
      </c>
      <c r="D55" s="11"/>
      <c r="E55" s="12"/>
      <c r="F55" s="12"/>
      <c r="G55" s="12"/>
      <c r="H55" s="12"/>
      <c r="I55" s="12"/>
      <c r="J55" s="12"/>
      <c r="K55" s="12"/>
      <c r="L55" s="12"/>
      <c r="M55" s="13" t="s">
        <v>122</v>
      </c>
      <c r="N55" s="1" t="s">
        <v>123</v>
      </c>
      <c r="O55" s="1" t="s">
        <v>51</v>
      </c>
      <c r="P55" s="1" t="s">
        <v>51</v>
      </c>
      <c r="Q55" s="1" t="s">
        <v>167</v>
      </c>
      <c r="R55" s="1" t="s">
        <v>61</v>
      </c>
      <c r="S55" s="1" t="s">
        <v>62</v>
      </c>
      <c r="T55" s="1" t="s">
        <v>62</v>
      </c>
      <c r="AR55" s="1" t="s">
        <v>51</v>
      </c>
      <c r="AS55" s="1" t="s">
        <v>51</v>
      </c>
      <c r="AU55" s="1" t="s">
        <v>174</v>
      </c>
      <c r="AV55">
        <v>35</v>
      </c>
    </row>
    <row r="56" spans="1:48" ht="30" customHeight="1" x14ac:dyDescent="0.3">
      <c r="A56" s="13" t="s">
        <v>116</v>
      </c>
      <c r="B56" s="13" t="s">
        <v>125</v>
      </c>
      <c r="C56" s="13" t="s">
        <v>66</v>
      </c>
      <c r="D56" s="11"/>
      <c r="E56" s="12"/>
      <c r="F56" s="12"/>
      <c r="G56" s="12"/>
      <c r="H56" s="12"/>
      <c r="I56" s="12"/>
      <c r="J56" s="12"/>
      <c r="K56" s="12"/>
      <c r="L56" s="12"/>
      <c r="M56" s="13" t="s">
        <v>126</v>
      </c>
      <c r="N56" s="1" t="s">
        <v>127</v>
      </c>
      <c r="O56" s="1" t="s">
        <v>51</v>
      </c>
      <c r="P56" s="1" t="s">
        <v>51</v>
      </c>
      <c r="Q56" s="1" t="s">
        <v>167</v>
      </c>
      <c r="R56" s="1" t="s">
        <v>61</v>
      </c>
      <c r="S56" s="1" t="s">
        <v>62</v>
      </c>
      <c r="T56" s="1" t="s">
        <v>62</v>
      </c>
      <c r="AR56" s="1" t="s">
        <v>51</v>
      </c>
      <c r="AS56" s="1" t="s">
        <v>51</v>
      </c>
      <c r="AU56" s="1" t="s">
        <v>175</v>
      </c>
      <c r="AV56">
        <v>36</v>
      </c>
    </row>
    <row r="57" spans="1:48" ht="30" customHeight="1" x14ac:dyDescent="0.3">
      <c r="A57" s="13" t="s">
        <v>176</v>
      </c>
      <c r="B57" s="13" t="s">
        <v>177</v>
      </c>
      <c r="C57" s="13" t="s">
        <v>66</v>
      </c>
      <c r="D57" s="11"/>
      <c r="E57" s="12"/>
      <c r="F57" s="12"/>
      <c r="G57" s="12"/>
      <c r="H57" s="12"/>
      <c r="I57" s="12"/>
      <c r="J57" s="12"/>
      <c r="K57" s="12"/>
      <c r="L57" s="12"/>
      <c r="M57" s="13" t="s">
        <v>178</v>
      </c>
      <c r="N57" s="1" t="s">
        <v>179</v>
      </c>
      <c r="O57" s="1" t="s">
        <v>51</v>
      </c>
      <c r="P57" s="1" t="s">
        <v>51</v>
      </c>
      <c r="Q57" s="1" t="s">
        <v>167</v>
      </c>
      <c r="R57" s="1" t="s">
        <v>61</v>
      </c>
      <c r="S57" s="1" t="s">
        <v>62</v>
      </c>
      <c r="T57" s="1" t="s">
        <v>62</v>
      </c>
      <c r="AR57" s="1" t="s">
        <v>51</v>
      </c>
      <c r="AS57" s="1" t="s">
        <v>51</v>
      </c>
      <c r="AU57" s="1" t="s">
        <v>180</v>
      </c>
      <c r="AV57">
        <v>37</v>
      </c>
    </row>
    <row r="58" spans="1:48" ht="30" customHeight="1" x14ac:dyDescent="0.3">
      <c r="A58" s="13" t="s">
        <v>181</v>
      </c>
      <c r="B58" s="13" t="s">
        <v>182</v>
      </c>
      <c r="C58" s="13" t="s">
        <v>66</v>
      </c>
      <c r="D58" s="11"/>
      <c r="E58" s="12"/>
      <c r="F58" s="12"/>
      <c r="G58" s="12"/>
      <c r="H58" s="12"/>
      <c r="I58" s="12"/>
      <c r="J58" s="12"/>
      <c r="K58" s="12"/>
      <c r="L58" s="12"/>
      <c r="M58" s="13" t="s">
        <v>183</v>
      </c>
      <c r="N58" s="1" t="s">
        <v>184</v>
      </c>
      <c r="O58" s="1" t="s">
        <v>51</v>
      </c>
      <c r="P58" s="1" t="s">
        <v>51</v>
      </c>
      <c r="Q58" s="1" t="s">
        <v>167</v>
      </c>
      <c r="R58" s="1" t="s">
        <v>61</v>
      </c>
      <c r="S58" s="1" t="s">
        <v>62</v>
      </c>
      <c r="T58" s="1" t="s">
        <v>62</v>
      </c>
      <c r="AR58" s="1" t="s">
        <v>51</v>
      </c>
      <c r="AS58" s="1" t="s">
        <v>51</v>
      </c>
      <c r="AU58" s="1" t="s">
        <v>185</v>
      </c>
      <c r="AV58">
        <v>38</v>
      </c>
    </row>
    <row r="59" spans="1:48" ht="30" customHeight="1" x14ac:dyDescent="0.3">
      <c r="A59" s="13" t="s">
        <v>186</v>
      </c>
      <c r="B59" s="13" t="s">
        <v>187</v>
      </c>
      <c r="C59" s="13" t="s">
        <v>66</v>
      </c>
      <c r="D59" s="11"/>
      <c r="E59" s="12"/>
      <c r="F59" s="12"/>
      <c r="G59" s="12"/>
      <c r="H59" s="12"/>
      <c r="I59" s="12"/>
      <c r="J59" s="12"/>
      <c r="K59" s="12"/>
      <c r="L59" s="12"/>
      <c r="M59" s="13" t="s">
        <v>188</v>
      </c>
      <c r="N59" s="1" t="s">
        <v>189</v>
      </c>
      <c r="O59" s="1" t="s">
        <v>51</v>
      </c>
      <c r="P59" s="1" t="s">
        <v>51</v>
      </c>
      <c r="Q59" s="1" t="s">
        <v>167</v>
      </c>
      <c r="R59" s="1" t="s">
        <v>61</v>
      </c>
      <c r="S59" s="1" t="s">
        <v>62</v>
      </c>
      <c r="T59" s="1" t="s">
        <v>62</v>
      </c>
      <c r="AR59" s="1" t="s">
        <v>51</v>
      </c>
      <c r="AS59" s="1" t="s">
        <v>51</v>
      </c>
      <c r="AU59" s="1" t="s">
        <v>190</v>
      </c>
      <c r="AV59">
        <v>39</v>
      </c>
    </row>
    <row r="60" spans="1:48" ht="30" customHeight="1" x14ac:dyDescent="0.3">
      <c r="A60" s="13" t="s">
        <v>191</v>
      </c>
      <c r="B60" s="13" t="s">
        <v>192</v>
      </c>
      <c r="C60" s="13" t="s">
        <v>66</v>
      </c>
      <c r="D60" s="11"/>
      <c r="E60" s="12"/>
      <c r="F60" s="12"/>
      <c r="G60" s="12"/>
      <c r="H60" s="12"/>
      <c r="I60" s="12"/>
      <c r="J60" s="12"/>
      <c r="K60" s="12"/>
      <c r="L60" s="12"/>
      <c r="M60" s="13" t="s">
        <v>193</v>
      </c>
      <c r="N60" s="1" t="s">
        <v>194</v>
      </c>
      <c r="O60" s="1" t="s">
        <v>51</v>
      </c>
      <c r="P60" s="1" t="s">
        <v>51</v>
      </c>
      <c r="Q60" s="1" t="s">
        <v>167</v>
      </c>
      <c r="R60" s="1" t="s">
        <v>61</v>
      </c>
      <c r="S60" s="1" t="s">
        <v>62</v>
      </c>
      <c r="T60" s="1" t="s">
        <v>62</v>
      </c>
      <c r="AR60" s="1" t="s">
        <v>51</v>
      </c>
      <c r="AS60" s="1" t="s">
        <v>51</v>
      </c>
      <c r="AU60" s="1" t="s">
        <v>195</v>
      </c>
      <c r="AV60">
        <v>40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167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167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167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167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167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167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167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167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167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167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167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167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167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167</v>
      </c>
    </row>
    <row r="75" spans="1:48" ht="30" customHeight="1" x14ac:dyDescent="0.3">
      <c r="A75" s="13" t="s">
        <v>82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83</v>
      </c>
    </row>
    <row r="76" spans="1:48" ht="30" customHeight="1" x14ac:dyDescent="0.3">
      <c r="A76" s="13" t="s">
        <v>1034</v>
      </c>
      <c r="B76" s="13" t="s">
        <v>51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196</v>
      </c>
    </row>
    <row r="77" spans="1:48" ht="30" customHeight="1" x14ac:dyDescent="0.3">
      <c r="A77" s="13" t="s">
        <v>197</v>
      </c>
      <c r="B77" s="13" t="s">
        <v>198</v>
      </c>
      <c r="C77" s="13" t="s">
        <v>66</v>
      </c>
      <c r="D77" s="11"/>
      <c r="E77" s="12"/>
      <c r="F77" s="12"/>
      <c r="G77" s="12"/>
      <c r="H77" s="12"/>
      <c r="I77" s="12"/>
      <c r="J77" s="12"/>
      <c r="K77" s="12"/>
      <c r="L77" s="12"/>
      <c r="M77" s="13" t="s">
        <v>51</v>
      </c>
      <c r="N77" s="1" t="s">
        <v>199</v>
      </c>
      <c r="O77" s="1" t="s">
        <v>51</v>
      </c>
      <c r="P77" s="1" t="s">
        <v>51</v>
      </c>
      <c r="Q77" s="1" t="s">
        <v>196</v>
      </c>
      <c r="R77" s="1" t="s">
        <v>62</v>
      </c>
      <c r="S77" s="1" t="s">
        <v>62</v>
      </c>
      <c r="T77" s="1" t="s">
        <v>61</v>
      </c>
      <c r="AR77" s="1" t="s">
        <v>51</v>
      </c>
      <c r="AS77" s="1" t="s">
        <v>51</v>
      </c>
      <c r="AU77" s="1" t="s">
        <v>200</v>
      </c>
      <c r="AV77">
        <v>42</v>
      </c>
    </row>
    <row r="78" spans="1:48" ht="30" customHeight="1" x14ac:dyDescent="0.3">
      <c r="A78" s="13" t="s">
        <v>201</v>
      </c>
      <c r="B78" s="13" t="s">
        <v>202</v>
      </c>
      <c r="C78" s="13" t="s">
        <v>66</v>
      </c>
      <c r="D78" s="11"/>
      <c r="E78" s="12"/>
      <c r="F78" s="12"/>
      <c r="G78" s="12"/>
      <c r="H78" s="12"/>
      <c r="I78" s="12"/>
      <c r="J78" s="12"/>
      <c r="K78" s="12"/>
      <c r="L78" s="12"/>
      <c r="M78" s="13" t="s">
        <v>203</v>
      </c>
      <c r="N78" s="1" t="s">
        <v>204</v>
      </c>
      <c r="O78" s="1" t="s">
        <v>51</v>
      </c>
      <c r="P78" s="1" t="s">
        <v>51</v>
      </c>
      <c r="Q78" s="1" t="s">
        <v>196</v>
      </c>
      <c r="R78" s="1" t="s">
        <v>61</v>
      </c>
      <c r="S78" s="1" t="s">
        <v>62</v>
      </c>
      <c r="T78" s="1" t="s">
        <v>62</v>
      </c>
      <c r="AR78" s="1" t="s">
        <v>51</v>
      </c>
      <c r="AS78" s="1" t="s">
        <v>51</v>
      </c>
      <c r="AU78" s="1" t="s">
        <v>205</v>
      </c>
      <c r="AV78">
        <v>43</v>
      </c>
    </row>
    <row r="79" spans="1:48" ht="30" customHeight="1" x14ac:dyDescent="0.3">
      <c r="A79" s="13" t="s">
        <v>206</v>
      </c>
      <c r="B79" s="13" t="s">
        <v>207</v>
      </c>
      <c r="C79" s="13" t="s">
        <v>66</v>
      </c>
      <c r="D79" s="11"/>
      <c r="E79" s="12"/>
      <c r="F79" s="12"/>
      <c r="G79" s="12"/>
      <c r="H79" s="12"/>
      <c r="I79" s="12"/>
      <c r="J79" s="12"/>
      <c r="K79" s="12"/>
      <c r="L79" s="12"/>
      <c r="M79" s="13" t="s">
        <v>51</v>
      </c>
      <c r="N79" s="1" t="s">
        <v>208</v>
      </c>
      <c r="O79" s="1" t="s">
        <v>51</v>
      </c>
      <c r="P79" s="1" t="s">
        <v>51</v>
      </c>
      <c r="Q79" s="1" t="s">
        <v>196</v>
      </c>
      <c r="R79" s="1" t="s">
        <v>62</v>
      </c>
      <c r="S79" s="1" t="s">
        <v>62</v>
      </c>
      <c r="T79" s="1" t="s">
        <v>61</v>
      </c>
      <c r="AR79" s="1" t="s">
        <v>51</v>
      </c>
      <c r="AS79" s="1" t="s">
        <v>51</v>
      </c>
      <c r="AU79" s="1" t="s">
        <v>209</v>
      </c>
      <c r="AV79">
        <v>44</v>
      </c>
    </row>
    <row r="80" spans="1:48" ht="30" customHeight="1" x14ac:dyDescent="0.3">
      <c r="A80" s="13" t="s">
        <v>210</v>
      </c>
      <c r="B80" s="13" t="s">
        <v>211</v>
      </c>
      <c r="C80" s="13" t="s">
        <v>66</v>
      </c>
      <c r="D80" s="11"/>
      <c r="E80" s="12"/>
      <c r="F80" s="12"/>
      <c r="G80" s="12"/>
      <c r="H80" s="12"/>
      <c r="I80" s="12"/>
      <c r="J80" s="12"/>
      <c r="K80" s="12"/>
      <c r="L80" s="12"/>
      <c r="M80" s="13" t="s">
        <v>51</v>
      </c>
      <c r="N80" s="1" t="s">
        <v>212</v>
      </c>
      <c r="O80" s="1" t="s">
        <v>51</v>
      </c>
      <c r="P80" s="1" t="s">
        <v>51</v>
      </c>
      <c r="Q80" s="1" t="s">
        <v>196</v>
      </c>
      <c r="R80" s="1" t="s">
        <v>62</v>
      </c>
      <c r="S80" s="1" t="s">
        <v>62</v>
      </c>
      <c r="T80" s="1" t="s">
        <v>61</v>
      </c>
      <c r="AR80" s="1" t="s">
        <v>51</v>
      </c>
      <c r="AS80" s="1" t="s">
        <v>51</v>
      </c>
      <c r="AU80" s="1" t="s">
        <v>213</v>
      </c>
      <c r="AV80">
        <v>45</v>
      </c>
    </row>
    <row r="81" spans="1:48" ht="30" customHeight="1" x14ac:dyDescent="0.3">
      <c r="A81" s="13" t="s">
        <v>214</v>
      </c>
      <c r="B81" s="13" t="s">
        <v>215</v>
      </c>
      <c r="C81" s="13" t="s">
        <v>66</v>
      </c>
      <c r="D81" s="11"/>
      <c r="E81" s="12"/>
      <c r="F81" s="12"/>
      <c r="G81" s="12"/>
      <c r="H81" s="12"/>
      <c r="I81" s="12"/>
      <c r="J81" s="12"/>
      <c r="K81" s="12"/>
      <c r="L81" s="12"/>
      <c r="M81" s="13" t="s">
        <v>216</v>
      </c>
      <c r="N81" s="1" t="s">
        <v>217</v>
      </c>
      <c r="O81" s="1" t="s">
        <v>51</v>
      </c>
      <c r="P81" s="1" t="s">
        <v>51</v>
      </c>
      <c r="Q81" s="1" t="s">
        <v>196</v>
      </c>
      <c r="R81" s="1" t="s">
        <v>61</v>
      </c>
      <c r="S81" s="1" t="s">
        <v>62</v>
      </c>
      <c r="T81" s="1" t="s">
        <v>62</v>
      </c>
      <c r="AR81" s="1" t="s">
        <v>51</v>
      </c>
      <c r="AS81" s="1" t="s">
        <v>51</v>
      </c>
      <c r="AU81" s="1" t="s">
        <v>218</v>
      </c>
      <c r="AV81">
        <v>46</v>
      </c>
    </row>
    <row r="82" spans="1:48" ht="30" customHeight="1" x14ac:dyDescent="0.3">
      <c r="A82" s="13" t="s">
        <v>219</v>
      </c>
      <c r="B82" s="13" t="s">
        <v>220</v>
      </c>
      <c r="C82" s="13" t="s">
        <v>221</v>
      </c>
      <c r="D82" s="11"/>
      <c r="E82" s="12"/>
      <c r="F82" s="12"/>
      <c r="G82" s="12"/>
      <c r="H82" s="12"/>
      <c r="I82" s="12"/>
      <c r="J82" s="12"/>
      <c r="K82" s="12"/>
      <c r="L82" s="12"/>
      <c r="M82" s="13" t="s">
        <v>222</v>
      </c>
      <c r="N82" s="1" t="s">
        <v>223</v>
      </c>
      <c r="O82" s="1" t="s">
        <v>51</v>
      </c>
      <c r="P82" s="1" t="s">
        <v>51</v>
      </c>
      <c r="Q82" s="1" t="s">
        <v>196</v>
      </c>
      <c r="R82" s="1" t="s">
        <v>61</v>
      </c>
      <c r="S82" s="1" t="s">
        <v>62</v>
      </c>
      <c r="T82" s="1" t="s">
        <v>62</v>
      </c>
      <c r="AR82" s="1" t="s">
        <v>51</v>
      </c>
      <c r="AS82" s="1" t="s">
        <v>51</v>
      </c>
      <c r="AU82" s="1" t="s">
        <v>224</v>
      </c>
      <c r="AV82">
        <v>47</v>
      </c>
    </row>
    <row r="83" spans="1:48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196</v>
      </c>
    </row>
    <row r="84" spans="1:48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196</v>
      </c>
    </row>
    <row r="85" spans="1:48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196</v>
      </c>
    </row>
    <row r="86" spans="1:48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196</v>
      </c>
    </row>
    <row r="87" spans="1:48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196</v>
      </c>
    </row>
    <row r="88" spans="1:48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196</v>
      </c>
    </row>
    <row r="89" spans="1:48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196</v>
      </c>
    </row>
    <row r="90" spans="1:48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196</v>
      </c>
    </row>
    <row r="91" spans="1:48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196</v>
      </c>
    </row>
    <row r="92" spans="1:48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196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196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196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196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196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196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196</v>
      </c>
    </row>
    <row r="99" spans="1:48" ht="30" customHeight="1" x14ac:dyDescent="0.3">
      <c r="A99" s="13" t="s">
        <v>82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83</v>
      </c>
    </row>
    <row r="100" spans="1:48" ht="30" customHeight="1" x14ac:dyDescent="0.3">
      <c r="A100" s="13" t="s">
        <v>1030</v>
      </c>
      <c r="B100" s="13" t="s">
        <v>51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227</v>
      </c>
    </row>
    <row r="101" spans="1:48" ht="30" customHeight="1" x14ac:dyDescent="0.3">
      <c r="A101" s="13" t="s">
        <v>228</v>
      </c>
      <c r="B101" s="13" t="s">
        <v>51</v>
      </c>
      <c r="C101" s="13" t="s">
        <v>229</v>
      </c>
      <c r="D101" s="11"/>
      <c r="E101" s="12"/>
      <c r="F101" s="12"/>
      <c r="G101" s="12"/>
      <c r="H101" s="12"/>
      <c r="I101" s="12"/>
      <c r="J101" s="12"/>
      <c r="K101" s="12"/>
      <c r="L101" s="12"/>
      <c r="M101" s="13" t="s">
        <v>51</v>
      </c>
      <c r="N101" s="1" t="s">
        <v>230</v>
      </c>
      <c r="O101" s="1" t="s">
        <v>51</v>
      </c>
      <c r="P101" s="1" t="s">
        <v>51</v>
      </c>
      <c r="Q101" s="1" t="s">
        <v>227</v>
      </c>
      <c r="R101" s="1" t="s">
        <v>62</v>
      </c>
      <c r="S101" s="1" t="s">
        <v>62</v>
      </c>
      <c r="T101" s="1" t="s">
        <v>61</v>
      </c>
      <c r="AR101" s="1" t="s">
        <v>51</v>
      </c>
      <c r="AS101" s="1" t="s">
        <v>51</v>
      </c>
      <c r="AU101" s="1" t="s">
        <v>231</v>
      </c>
      <c r="AV101">
        <v>62</v>
      </c>
    </row>
    <row r="102" spans="1:48" ht="30" customHeight="1" x14ac:dyDescent="0.3">
      <c r="A102" s="13" t="s">
        <v>232</v>
      </c>
      <c r="B102" s="13" t="s">
        <v>233</v>
      </c>
      <c r="C102" s="13" t="s">
        <v>229</v>
      </c>
      <c r="D102" s="11"/>
      <c r="E102" s="12"/>
      <c r="F102" s="12"/>
      <c r="G102" s="12"/>
      <c r="H102" s="12"/>
      <c r="I102" s="12"/>
      <c r="J102" s="12"/>
      <c r="K102" s="12"/>
      <c r="L102" s="12"/>
      <c r="M102" s="13" t="s">
        <v>51</v>
      </c>
      <c r="N102" s="1" t="s">
        <v>234</v>
      </c>
      <c r="O102" s="1" t="s">
        <v>51</v>
      </c>
      <c r="P102" s="1" t="s">
        <v>51</v>
      </c>
      <c r="Q102" s="1" t="s">
        <v>227</v>
      </c>
      <c r="R102" s="1" t="s">
        <v>62</v>
      </c>
      <c r="S102" s="1" t="s">
        <v>62</v>
      </c>
      <c r="T102" s="1" t="s">
        <v>62</v>
      </c>
      <c r="AR102" s="1" t="s">
        <v>51</v>
      </c>
      <c r="AS102" s="1" t="s">
        <v>51</v>
      </c>
      <c r="AU102" s="1" t="s">
        <v>235</v>
      </c>
      <c r="AV102">
        <v>63</v>
      </c>
    </row>
    <row r="103" spans="1:48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227</v>
      </c>
    </row>
    <row r="104" spans="1:48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227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227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227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227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227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227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227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227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227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227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227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227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227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227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227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227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227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227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227</v>
      </c>
    </row>
    <row r="123" spans="1:48" ht="30" customHeight="1" x14ac:dyDescent="0.3">
      <c r="A123" s="13" t="s">
        <v>82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83</v>
      </c>
    </row>
    <row r="124" spans="1:48" ht="30" customHeight="1" x14ac:dyDescent="0.3">
      <c r="A124" s="13" t="s">
        <v>1032</v>
      </c>
      <c r="B124" s="13" t="s">
        <v>51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240</v>
      </c>
    </row>
    <row r="125" spans="1:48" ht="30" customHeight="1" x14ac:dyDescent="0.3">
      <c r="A125" s="13" t="s">
        <v>239</v>
      </c>
      <c r="B125" s="13" t="s">
        <v>51</v>
      </c>
      <c r="C125" s="13" t="s">
        <v>229</v>
      </c>
      <c r="D125" s="11"/>
      <c r="E125" s="12"/>
      <c r="F125" s="12"/>
      <c r="G125" s="12"/>
      <c r="H125" s="12"/>
      <c r="I125" s="12"/>
      <c r="J125" s="12"/>
      <c r="K125" s="12"/>
      <c r="L125" s="12"/>
      <c r="M125" s="13" t="s">
        <v>51</v>
      </c>
      <c r="N125" s="1" t="s">
        <v>242</v>
      </c>
      <c r="O125" s="1" t="s">
        <v>51</v>
      </c>
      <c r="P125" s="1" t="s">
        <v>51</v>
      </c>
      <c r="Q125" s="1" t="s">
        <v>240</v>
      </c>
      <c r="R125" s="1" t="s">
        <v>62</v>
      </c>
      <c r="S125" s="1" t="s">
        <v>62</v>
      </c>
      <c r="T125" s="1" t="s">
        <v>61</v>
      </c>
      <c r="AR125" s="1" t="s">
        <v>51</v>
      </c>
      <c r="AS125" s="1" t="s">
        <v>51</v>
      </c>
      <c r="AU125" s="1" t="s">
        <v>243</v>
      </c>
      <c r="AV125">
        <v>57</v>
      </c>
    </row>
    <row r="126" spans="1:48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240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240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240</v>
      </c>
    </row>
    <row r="129" spans="1:17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240</v>
      </c>
    </row>
    <row r="130" spans="1:17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240</v>
      </c>
    </row>
    <row r="131" spans="1:17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240</v>
      </c>
    </row>
    <row r="132" spans="1:17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240</v>
      </c>
    </row>
    <row r="133" spans="1:17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240</v>
      </c>
    </row>
    <row r="134" spans="1:17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240</v>
      </c>
    </row>
    <row r="135" spans="1:17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240</v>
      </c>
    </row>
    <row r="136" spans="1:17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240</v>
      </c>
    </row>
    <row r="137" spans="1:17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240</v>
      </c>
    </row>
    <row r="138" spans="1:17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240</v>
      </c>
    </row>
    <row r="139" spans="1:17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240</v>
      </c>
    </row>
    <row r="140" spans="1:17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240</v>
      </c>
    </row>
    <row r="141" spans="1:17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240</v>
      </c>
    </row>
    <row r="142" spans="1:17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240</v>
      </c>
    </row>
    <row r="143" spans="1:17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240</v>
      </c>
    </row>
    <row r="144" spans="1:17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240</v>
      </c>
    </row>
    <row r="145" spans="1:17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240</v>
      </c>
    </row>
    <row r="146" spans="1:17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240</v>
      </c>
    </row>
    <row r="147" spans="1:17" ht="30" customHeight="1" x14ac:dyDescent="0.3">
      <c r="A147" s="13" t="s">
        <v>82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N147" t="s">
        <v>83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7" max="16383" man="1"/>
    <brk id="51" max="16383" man="1"/>
    <brk id="75" max="16383" man="1"/>
    <brk id="99" max="16383" man="1"/>
    <brk id="123" max="16383" man="1"/>
    <brk id="1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F9740-96FA-4346-B692-84A835E34B7B}">
  <sheetPr>
    <pageSetUpPr fitToPage="1"/>
  </sheetPr>
  <dimension ref="A1:N36"/>
  <sheetViews>
    <sheetView view="pageBreakPreview" topLeftCell="B7" zoomScale="85" zoomScaleNormal="100" zoomScaleSheetLayoutView="85" workbookViewId="0">
      <selection activeCell="C25" sqref="C25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3"/>
      <c r="B1" s="2" t="s">
        <v>244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245</v>
      </c>
      <c r="B3" s="7" t="s">
        <v>2</v>
      </c>
      <c r="C3" s="7" t="s">
        <v>3</v>
      </c>
      <c r="D3" s="7" t="s">
        <v>4</v>
      </c>
      <c r="E3" s="7" t="s">
        <v>246</v>
      </c>
      <c r="F3" s="7" t="s">
        <v>247</v>
      </c>
      <c r="G3" s="7" t="s">
        <v>248</v>
      </c>
      <c r="H3" s="7" t="s">
        <v>249</v>
      </c>
      <c r="I3" s="7" t="s">
        <v>250</v>
      </c>
      <c r="J3" s="7" t="s">
        <v>251</v>
      </c>
      <c r="K3" s="7" t="s">
        <v>252</v>
      </c>
      <c r="L3" s="7" t="s">
        <v>253</v>
      </c>
      <c r="M3" s="7" t="s">
        <v>254</v>
      </c>
      <c r="N3" s="1" t="s">
        <v>255</v>
      </c>
    </row>
    <row r="4" spans="1:14" ht="30" customHeight="1" x14ac:dyDescent="0.3">
      <c r="A4" s="13" t="s">
        <v>60</v>
      </c>
      <c r="B4" s="13" t="s">
        <v>56</v>
      </c>
      <c r="C4" s="13" t="s">
        <v>57</v>
      </c>
      <c r="D4" s="13" t="s">
        <v>58</v>
      </c>
      <c r="E4" s="23">
        <f>일위대가!F10</f>
        <v>121602</v>
      </c>
      <c r="F4" s="23">
        <f>일위대가!H10</f>
        <v>0</v>
      </c>
      <c r="G4" s="23">
        <f>일위대가!J10</f>
        <v>0</v>
      </c>
      <c r="H4" s="23">
        <f t="shared" ref="H4:H36" si="0">E4+F4+G4</f>
        <v>121602</v>
      </c>
      <c r="I4" s="13" t="s">
        <v>59</v>
      </c>
      <c r="J4" s="13" t="s">
        <v>51</v>
      </c>
      <c r="K4" s="13" t="s">
        <v>51</v>
      </c>
      <c r="L4" s="13" t="s">
        <v>51</v>
      </c>
      <c r="M4" s="13" t="s">
        <v>51</v>
      </c>
      <c r="N4" s="1" t="s">
        <v>51</v>
      </c>
    </row>
    <row r="5" spans="1:14" ht="30" customHeight="1" x14ac:dyDescent="0.3">
      <c r="A5" s="13" t="s">
        <v>68</v>
      </c>
      <c r="B5" s="13" t="s">
        <v>64</v>
      </c>
      <c r="C5" s="13" t="s">
        <v>65</v>
      </c>
      <c r="D5" s="13" t="s">
        <v>66</v>
      </c>
      <c r="E5" s="23">
        <f>일위대가!F19</f>
        <v>2444</v>
      </c>
      <c r="F5" s="23">
        <f>일위대가!H19</f>
        <v>39025</v>
      </c>
      <c r="G5" s="23">
        <f>일위대가!J19</f>
        <v>0</v>
      </c>
      <c r="H5" s="23">
        <f t="shared" si="0"/>
        <v>41469</v>
      </c>
      <c r="I5" s="13" t="s">
        <v>67</v>
      </c>
      <c r="J5" s="13" t="s">
        <v>51</v>
      </c>
      <c r="K5" s="13" t="s">
        <v>51</v>
      </c>
      <c r="L5" s="13" t="s">
        <v>51</v>
      </c>
      <c r="M5" s="13" t="s">
        <v>51</v>
      </c>
      <c r="N5" s="1" t="s">
        <v>51</v>
      </c>
    </row>
    <row r="6" spans="1:14" ht="30" customHeight="1" x14ac:dyDescent="0.3">
      <c r="A6" s="13" t="s">
        <v>74</v>
      </c>
      <c r="B6" s="13" t="s">
        <v>70</v>
      </c>
      <c r="C6" s="13" t="s">
        <v>71</v>
      </c>
      <c r="D6" s="13" t="s">
        <v>72</v>
      </c>
      <c r="E6" s="23">
        <f>일위대가!F25</f>
        <v>2856</v>
      </c>
      <c r="F6" s="23">
        <f>일위대가!H25</f>
        <v>64553</v>
      </c>
      <c r="G6" s="23">
        <f>일위대가!J25</f>
        <v>0</v>
      </c>
      <c r="H6" s="23">
        <f t="shared" si="0"/>
        <v>67409</v>
      </c>
      <c r="I6" s="13" t="s">
        <v>73</v>
      </c>
      <c r="J6" s="13" t="s">
        <v>51</v>
      </c>
      <c r="K6" s="13" t="s">
        <v>51</v>
      </c>
      <c r="L6" s="13" t="s">
        <v>51</v>
      </c>
      <c r="M6" s="13" t="s">
        <v>51</v>
      </c>
      <c r="N6" s="1" t="s">
        <v>51</v>
      </c>
    </row>
    <row r="7" spans="1:14" ht="30" customHeight="1" x14ac:dyDescent="0.3">
      <c r="A7" s="13" t="s">
        <v>80</v>
      </c>
      <c r="B7" s="13" t="s">
        <v>76</v>
      </c>
      <c r="C7" s="13" t="s">
        <v>77</v>
      </c>
      <c r="D7" s="13" t="s">
        <v>78</v>
      </c>
      <c r="E7" s="23">
        <f>일위대가!F42</f>
        <v>977793</v>
      </c>
      <c r="F7" s="23">
        <f>일위대가!H42</f>
        <v>701312</v>
      </c>
      <c r="G7" s="23">
        <f>일위대가!J42</f>
        <v>47691</v>
      </c>
      <c r="H7" s="23">
        <f t="shared" si="0"/>
        <v>1726796</v>
      </c>
      <c r="I7" s="13" t="s">
        <v>79</v>
      </c>
      <c r="J7" s="13" t="s">
        <v>51</v>
      </c>
      <c r="K7" s="13" t="s">
        <v>51</v>
      </c>
      <c r="L7" s="13" t="s">
        <v>51</v>
      </c>
      <c r="M7" s="13" t="s">
        <v>51</v>
      </c>
      <c r="N7" s="1" t="s">
        <v>51</v>
      </c>
    </row>
    <row r="8" spans="1:14" ht="30" customHeight="1" x14ac:dyDescent="0.3">
      <c r="A8" s="13" t="s">
        <v>91</v>
      </c>
      <c r="B8" s="13" t="s">
        <v>64</v>
      </c>
      <c r="C8" s="13" t="s">
        <v>89</v>
      </c>
      <c r="D8" s="13" t="s">
        <v>66</v>
      </c>
      <c r="E8" s="23">
        <f>일위대가!F51</f>
        <v>924</v>
      </c>
      <c r="F8" s="23">
        <f>일위대가!H51</f>
        <v>28168</v>
      </c>
      <c r="G8" s="23">
        <f>일위대가!J51</f>
        <v>0</v>
      </c>
      <c r="H8" s="23">
        <f t="shared" si="0"/>
        <v>29092</v>
      </c>
      <c r="I8" s="13" t="s">
        <v>90</v>
      </c>
      <c r="J8" s="13" t="s">
        <v>51</v>
      </c>
      <c r="K8" s="13" t="s">
        <v>51</v>
      </c>
      <c r="L8" s="13" t="s">
        <v>51</v>
      </c>
      <c r="M8" s="13" t="s">
        <v>51</v>
      </c>
      <c r="N8" s="1" t="s">
        <v>51</v>
      </c>
    </row>
    <row r="9" spans="1:14" ht="30" customHeight="1" x14ac:dyDescent="0.3">
      <c r="A9" s="13" t="s">
        <v>99</v>
      </c>
      <c r="B9" s="13" t="s">
        <v>64</v>
      </c>
      <c r="C9" s="13" t="s">
        <v>97</v>
      </c>
      <c r="D9" s="13" t="s">
        <v>66</v>
      </c>
      <c r="E9" s="23">
        <f>일위대가!F60</f>
        <v>2977</v>
      </c>
      <c r="F9" s="23">
        <f>일위대가!H60</f>
        <v>44441</v>
      </c>
      <c r="G9" s="23">
        <f>일위대가!J60</f>
        <v>0</v>
      </c>
      <c r="H9" s="23">
        <f t="shared" si="0"/>
        <v>47418</v>
      </c>
      <c r="I9" s="13" t="s">
        <v>98</v>
      </c>
      <c r="J9" s="13" t="s">
        <v>51</v>
      </c>
      <c r="K9" s="13" t="s">
        <v>51</v>
      </c>
      <c r="L9" s="13" t="s">
        <v>51</v>
      </c>
      <c r="M9" s="13" t="s">
        <v>51</v>
      </c>
      <c r="N9" s="1" t="s">
        <v>51</v>
      </c>
    </row>
    <row r="10" spans="1:14" ht="30" customHeight="1" x14ac:dyDescent="0.3">
      <c r="A10" s="13" t="s">
        <v>104</v>
      </c>
      <c r="B10" s="13" t="s">
        <v>101</v>
      </c>
      <c r="C10" s="13" t="s">
        <v>102</v>
      </c>
      <c r="D10" s="13" t="s">
        <v>66</v>
      </c>
      <c r="E10" s="23">
        <f>일위대가!F69</f>
        <v>718</v>
      </c>
      <c r="F10" s="23">
        <f>일위대가!H69</f>
        <v>13937</v>
      </c>
      <c r="G10" s="23">
        <f>일위대가!J69</f>
        <v>0</v>
      </c>
      <c r="H10" s="23">
        <f t="shared" si="0"/>
        <v>14655</v>
      </c>
      <c r="I10" s="13" t="s">
        <v>103</v>
      </c>
      <c r="J10" s="13" t="s">
        <v>51</v>
      </c>
      <c r="K10" s="13" t="s">
        <v>51</v>
      </c>
      <c r="L10" s="13" t="s">
        <v>51</v>
      </c>
      <c r="M10" s="13" t="s">
        <v>51</v>
      </c>
      <c r="N10" s="1" t="s">
        <v>51</v>
      </c>
    </row>
    <row r="11" spans="1:14" ht="30" customHeight="1" x14ac:dyDescent="0.3">
      <c r="A11" s="13" t="s">
        <v>109</v>
      </c>
      <c r="B11" s="13" t="s">
        <v>106</v>
      </c>
      <c r="C11" s="13" t="s">
        <v>107</v>
      </c>
      <c r="D11" s="13" t="s">
        <v>66</v>
      </c>
      <c r="E11" s="23">
        <f>일위대가!F76</f>
        <v>639</v>
      </c>
      <c r="F11" s="23">
        <f>일위대가!H76</f>
        <v>6150</v>
      </c>
      <c r="G11" s="23">
        <f>일위대가!J76</f>
        <v>0</v>
      </c>
      <c r="H11" s="23">
        <f t="shared" si="0"/>
        <v>6789</v>
      </c>
      <c r="I11" s="13" t="s">
        <v>108</v>
      </c>
      <c r="J11" s="13" t="s">
        <v>51</v>
      </c>
      <c r="K11" s="13" t="s">
        <v>51</v>
      </c>
      <c r="L11" s="13" t="s">
        <v>51</v>
      </c>
      <c r="M11" s="13" t="s">
        <v>51</v>
      </c>
      <c r="N11" s="1" t="s">
        <v>51</v>
      </c>
    </row>
    <row r="12" spans="1:14" ht="30" customHeight="1" x14ac:dyDescent="0.3">
      <c r="A12" s="13" t="s">
        <v>114</v>
      </c>
      <c r="B12" s="13" t="s">
        <v>111</v>
      </c>
      <c r="C12" s="13" t="s">
        <v>112</v>
      </c>
      <c r="D12" s="13" t="s">
        <v>66</v>
      </c>
      <c r="E12" s="23">
        <f>일위대가!F85</f>
        <v>1440</v>
      </c>
      <c r="F12" s="23">
        <f>일위대가!H85</f>
        <v>3124</v>
      </c>
      <c r="G12" s="23">
        <f>일위대가!J85</f>
        <v>0</v>
      </c>
      <c r="H12" s="23">
        <f t="shared" si="0"/>
        <v>4564</v>
      </c>
      <c r="I12" s="13" t="s">
        <v>113</v>
      </c>
      <c r="J12" s="13" t="s">
        <v>51</v>
      </c>
      <c r="K12" s="13" t="s">
        <v>51</v>
      </c>
      <c r="L12" s="13" t="s">
        <v>51</v>
      </c>
      <c r="M12" s="13" t="s">
        <v>51</v>
      </c>
      <c r="N12" s="1" t="s">
        <v>51</v>
      </c>
    </row>
    <row r="13" spans="1:14" ht="30" customHeight="1" x14ac:dyDescent="0.3">
      <c r="A13" s="13" t="s">
        <v>119</v>
      </c>
      <c r="B13" s="13" t="s">
        <v>116</v>
      </c>
      <c r="C13" s="13" t="s">
        <v>117</v>
      </c>
      <c r="D13" s="13" t="s">
        <v>66</v>
      </c>
      <c r="E13" s="23">
        <f>일위대가!F94</f>
        <v>243</v>
      </c>
      <c r="F13" s="23">
        <f>일위대가!H94</f>
        <v>10563</v>
      </c>
      <c r="G13" s="23">
        <f>일위대가!J94</f>
        <v>0</v>
      </c>
      <c r="H13" s="23">
        <f t="shared" si="0"/>
        <v>10806</v>
      </c>
      <c r="I13" s="13" t="s">
        <v>118</v>
      </c>
      <c r="J13" s="13" t="s">
        <v>51</v>
      </c>
      <c r="K13" s="13" t="s">
        <v>51</v>
      </c>
      <c r="L13" s="13" t="s">
        <v>51</v>
      </c>
      <c r="M13" s="13" t="s">
        <v>51</v>
      </c>
      <c r="N13" s="1" t="s">
        <v>51</v>
      </c>
    </row>
    <row r="14" spans="1:14" ht="30" customHeight="1" x14ac:dyDescent="0.3">
      <c r="A14" s="13" t="s">
        <v>123</v>
      </c>
      <c r="B14" s="13" t="s">
        <v>116</v>
      </c>
      <c r="C14" s="13" t="s">
        <v>121</v>
      </c>
      <c r="D14" s="13" t="s">
        <v>66</v>
      </c>
      <c r="E14" s="23">
        <f>일위대가!F103</f>
        <v>364</v>
      </c>
      <c r="F14" s="23">
        <f>일위대가!H103</f>
        <v>12676</v>
      </c>
      <c r="G14" s="23">
        <f>일위대가!J103</f>
        <v>0</v>
      </c>
      <c r="H14" s="23">
        <f t="shared" si="0"/>
        <v>13040</v>
      </c>
      <c r="I14" s="13" t="s">
        <v>122</v>
      </c>
      <c r="J14" s="13" t="s">
        <v>51</v>
      </c>
      <c r="K14" s="13" t="s">
        <v>51</v>
      </c>
      <c r="L14" s="13" t="s">
        <v>51</v>
      </c>
      <c r="M14" s="13" t="s">
        <v>51</v>
      </c>
      <c r="N14" s="1" t="s">
        <v>51</v>
      </c>
    </row>
    <row r="15" spans="1:14" ht="30" customHeight="1" x14ac:dyDescent="0.3">
      <c r="A15" s="13" t="s">
        <v>127</v>
      </c>
      <c r="B15" s="13" t="s">
        <v>116</v>
      </c>
      <c r="C15" s="13" t="s">
        <v>125</v>
      </c>
      <c r="D15" s="13" t="s">
        <v>66</v>
      </c>
      <c r="E15" s="23">
        <f>일위대가!F112</f>
        <v>501</v>
      </c>
      <c r="F15" s="23">
        <f>일위대가!H112</f>
        <v>16901</v>
      </c>
      <c r="G15" s="23">
        <f>일위대가!J112</f>
        <v>0</v>
      </c>
      <c r="H15" s="23">
        <f t="shared" si="0"/>
        <v>17402</v>
      </c>
      <c r="I15" s="13" t="s">
        <v>126</v>
      </c>
      <c r="J15" s="13" t="s">
        <v>51</v>
      </c>
      <c r="K15" s="13" t="s">
        <v>51</v>
      </c>
      <c r="L15" s="13" t="s">
        <v>51</v>
      </c>
      <c r="M15" s="13" t="s">
        <v>51</v>
      </c>
      <c r="N15" s="1" t="s">
        <v>51</v>
      </c>
    </row>
    <row r="16" spans="1:14" ht="30" customHeight="1" x14ac:dyDescent="0.3">
      <c r="A16" s="13" t="s">
        <v>132</v>
      </c>
      <c r="B16" s="13" t="s">
        <v>129</v>
      </c>
      <c r="C16" s="13" t="s">
        <v>130</v>
      </c>
      <c r="D16" s="13" t="s">
        <v>72</v>
      </c>
      <c r="E16" s="23">
        <f>일위대가!F118</f>
        <v>591</v>
      </c>
      <c r="F16" s="23">
        <f>일위대가!H118</f>
        <v>52816</v>
      </c>
      <c r="G16" s="23">
        <f>일위대가!J118</f>
        <v>0</v>
      </c>
      <c r="H16" s="23">
        <f t="shared" si="0"/>
        <v>53407</v>
      </c>
      <c r="I16" s="13" t="s">
        <v>131</v>
      </c>
      <c r="J16" s="13" t="s">
        <v>51</v>
      </c>
      <c r="K16" s="13" t="s">
        <v>51</v>
      </c>
      <c r="L16" s="13" t="s">
        <v>51</v>
      </c>
      <c r="M16" s="13" t="s">
        <v>51</v>
      </c>
      <c r="N16" s="1" t="s">
        <v>51</v>
      </c>
    </row>
    <row r="17" spans="1:14" ht="30" customHeight="1" x14ac:dyDescent="0.3">
      <c r="A17" s="13" t="s">
        <v>137</v>
      </c>
      <c r="B17" s="13" t="s">
        <v>134</v>
      </c>
      <c r="C17" s="13" t="s">
        <v>135</v>
      </c>
      <c r="D17" s="13" t="s">
        <v>72</v>
      </c>
      <c r="E17" s="23">
        <f>일위대가!F124</f>
        <v>3100</v>
      </c>
      <c r="F17" s="23">
        <f>일위대가!H124</f>
        <v>52816</v>
      </c>
      <c r="G17" s="23">
        <f>일위대가!J124</f>
        <v>0</v>
      </c>
      <c r="H17" s="23">
        <f t="shared" si="0"/>
        <v>55916</v>
      </c>
      <c r="I17" s="13" t="s">
        <v>136</v>
      </c>
      <c r="J17" s="13" t="s">
        <v>51</v>
      </c>
      <c r="K17" s="13" t="s">
        <v>51</v>
      </c>
      <c r="L17" s="13" t="s">
        <v>51</v>
      </c>
      <c r="M17" s="13" t="s">
        <v>51</v>
      </c>
      <c r="N17" s="1" t="s">
        <v>51</v>
      </c>
    </row>
    <row r="18" spans="1:14" ht="30" customHeight="1" x14ac:dyDescent="0.3">
      <c r="A18" s="13" t="s">
        <v>142</v>
      </c>
      <c r="B18" s="13" t="s">
        <v>139</v>
      </c>
      <c r="C18" s="13" t="s">
        <v>140</v>
      </c>
      <c r="D18" s="13" t="s">
        <v>66</v>
      </c>
      <c r="E18" s="23">
        <f>일위대가!F132</f>
        <v>3484</v>
      </c>
      <c r="F18" s="23">
        <f>일위대가!H132</f>
        <v>10469</v>
      </c>
      <c r="G18" s="23">
        <f>일위대가!J132</f>
        <v>0</v>
      </c>
      <c r="H18" s="23">
        <f t="shared" si="0"/>
        <v>13953</v>
      </c>
      <c r="I18" s="13" t="s">
        <v>141</v>
      </c>
      <c r="J18" s="13" t="s">
        <v>51</v>
      </c>
      <c r="K18" s="13" t="s">
        <v>51</v>
      </c>
      <c r="L18" s="13" t="s">
        <v>51</v>
      </c>
      <c r="M18" s="13" t="s">
        <v>51</v>
      </c>
      <c r="N18" s="1" t="s">
        <v>51</v>
      </c>
    </row>
    <row r="19" spans="1:14" ht="30" customHeight="1" x14ac:dyDescent="0.3">
      <c r="A19" s="13" t="s">
        <v>146</v>
      </c>
      <c r="B19" s="13" t="s">
        <v>106</v>
      </c>
      <c r="C19" s="13" t="s">
        <v>144</v>
      </c>
      <c r="D19" s="13" t="s">
        <v>66</v>
      </c>
      <c r="E19" s="23">
        <f>일위대가!F139</f>
        <v>624</v>
      </c>
      <c r="F19" s="23">
        <f>일위대가!H139</f>
        <v>6543</v>
      </c>
      <c r="G19" s="23">
        <f>일위대가!J139</f>
        <v>0</v>
      </c>
      <c r="H19" s="23">
        <f t="shared" si="0"/>
        <v>7167</v>
      </c>
      <c r="I19" s="13" t="s">
        <v>145</v>
      </c>
      <c r="J19" s="13" t="s">
        <v>51</v>
      </c>
      <c r="K19" s="13" t="s">
        <v>51</v>
      </c>
      <c r="L19" s="13" t="s">
        <v>51</v>
      </c>
      <c r="M19" s="13" t="s">
        <v>51</v>
      </c>
      <c r="N19" s="1" t="s">
        <v>51</v>
      </c>
    </row>
    <row r="20" spans="1:14" ht="30" customHeight="1" x14ac:dyDescent="0.3">
      <c r="A20" s="13" t="s">
        <v>150</v>
      </c>
      <c r="B20" s="13" t="s">
        <v>106</v>
      </c>
      <c r="C20" s="13" t="s">
        <v>148</v>
      </c>
      <c r="D20" s="13" t="s">
        <v>66</v>
      </c>
      <c r="E20" s="23">
        <f>일위대가!F146</f>
        <v>638</v>
      </c>
      <c r="F20" s="23">
        <f>일위대가!H146</f>
        <v>6543</v>
      </c>
      <c r="G20" s="23">
        <f>일위대가!J146</f>
        <v>0</v>
      </c>
      <c r="H20" s="23">
        <f t="shared" si="0"/>
        <v>7181</v>
      </c>
      <c r="I20" s="13" t="s">
        <v>149</v>
      </c>
      <c r="J20" s="13" t="s">
        <v>51</v>
      </c>
      <c r="K20" s="13" t="s">
        <v>51</v>
      </c>
      <c r="L20" s="13" t="s">
        <v>51</v>
      </c>
      <c r="M20" s="13" t="s">
        <v>51</v>
      </c>
      <c r="N20" s="1" t="s">
        <v>51</v>
      </c>
    </row>
    <row r="21" spans="1:14" ht="30" customHeight="1" x14ac:dyDescent="0.3">
      <c r="A21" s="13" t="s">
        <v>154</v>
      </c>
      <c r="B21" s="13" t="s">
        <v>106</v>
      </c>
      <c r="C21" s="13" t="s">
        <v>152</v>
      </c>
      <c r="D21" s="13" t="s">
        <v>66</v>
      </c>
      <c r="E21" s="23">
        <f>일위대가!F153</f>
        <v>638</v>
      </c>
      <c r="F21" s="23">
        <f>일위대가!H153</f>
        <v>6194</v>
      </c>
      <c r="G21" s="23">
        <f>일위대가!J153</f>
        <v>0</v>
      </c>
      <c r="H21" s="23">
        <f t="shared" si="0"/>
        <v>6832</v>
      </c>
      <c r="I21" s="13" t="s">
        <v>153</v>
      </c>
      <c r="J21" s="13" t="s">
        <v>51</v>
      </c>
      <c r="K21" s="13" t="s">
        <v>51</v>
      </c>
      <c r="L21" s="13" t="s">
        <v>51</v>
      </c>
      <c r="M21" s="13" t="s">
        <v>51</v>
      </c>
      <c r="N21" s="1" t="s">
        <v>51</v>
      </c>
    </row>
    <row r="22" spans="1:14" ht="30" customHeight="1" x14ac:dyDescent="0.3">
      <c r="A22" s="13" t="s">
        <v>158</v>
      </c>
      <c r="B22" s="13" t="s">
        <v>111</v>
      </c>
      <c r="C22" s="13" t="s">
        <v>156</v>
      </c>
      <c r="D22" s="13" t="s">
        <v>66</v>
      </c>
      <c r="E22" s="23">
        <f>일위대가!F162</f>
        <v>1213</v>
      </c>
      <c r="F22" s="23">
        <f>일위대가!H162</f>
        <v>3124</v>
      </c>
      <c r="G22" s="23">
        <f>일위대가!J162</f>
        <v>0</v>
      </c>
      <c r="H22" s="23">
        <f t="shared" si="0"/>
        <v>4337</v>
      </c>
      <c r="I22" s="13" t="s">
        <v>157</v>
      </c>
      <c r="J22" s="13" t="s">
        <v>51</v>
      </c>
      <c r="K22" s="13" t="s">
        <v>51</v>
      </c>
      <c r="L22" s="13" t="s">
        <v>51</v>
      </c>
      <c r="M22" s="13" t="s">
        <v>51</v>
      </c>
      <c r="N22" s="1" t="s">
        <v>51</v>
      </c>
    </row>
    <row r="23" spans="1:14" ht="30" customHeight="1" x14ac:dyDescent="0.3">
      <c r="A23" s="13" t="s">
        <v>163</v>
      </c>
      <c r="B23" s="13" t="s">
        <v>160</v>
      </c>
      <c r="C23" s="13" t="s">
        <v>161</v>
      </c>
      <c r="D23" s="13" t="s">
        <v>72</v>
      </c>
      <c r="E23" s="23">
        <f>일위대가!F168</f>
        <v>2728</v>
      </c>
      <c r="F23" s="23">
        <f>일위대가!H168</f>
        <v>9859</v>
      </c>
      <c r="G23" s="23">
        <f>일위대가!J168</f>
        <v>0</v>
      </c>
      <c r="H23" s="23">
        <f t="shared" si="0"/>
        <v>12587</v>
      </c>
      <c r="I23" s="13" t="s">
        <v>162</v>
      </c>
      <c r="J23" s="13" t="s">
        <v>51</v>
      </c>
      <c r="K23" s="13" t="s">
        <v>51</v>
      </c>
      <c r="L23" s="13" t="s">
        <v>51</v>
      </c>
      <c r="M23" s="13" t="s">
        <v>51</v>
      </c>
      <c r="N23" s="1" t="s">
        <v>51</v>
      </c>
    </row>
    <row r="24" spans="1:14" ht="30" customHeight="1" x14ac:dyDescent="0.3">
      <c r="A24" s="13" t="s">
        <v>166</v>
      </c>
      <c r="B24" s="13" t="s">
        <v>116</v>
      </c>
      <c r="C24" s="13" t="s">
        <v>1022</v>
      </c>
      <c r="D24" s="13" t="s">
        <v>66</v>
      </c>
      <c r="E24" s="23">
        <f>일위대가!F177</f>
        <v>857</v>
      </c>
      <c r="F24" s="23">
        <f>일위대가!H177</f>
        <v>16409</v>
      </c>
      <c r="G24" s="23">
        <f>일위대가!J177</f>
        <v>0</v>
      </c>
      <c r="H24" s="23">
        <f t="shared" si="0"/>
        <v>17266</v>
      </c>
      <c r="I24" s="13" t="s">
        <v>165</v>
      </c>
      <c r="J24" s="13" t="s">
        <v>51</v>
      </c>
      <c r="K24" s="13" t="s">
        <v>51</v>
      </c>
      <c r="L24" s="13" t="s">
        <v>51</v>
      </c>
      <c r="M24" s="13" t="s">
        <v>51</v>
      </c>
      <c r="N24" s="1" t="s">
        <v>51</v>
      </c>
    </row>
    <row r="25" spans="1:14" ht="30" customHeight="1" x14ac:dyDescent="0.3">
      <c r="A25" s="13" t="s">
        <v>171</v>
      </c>
      <c r="B25" s="13" t="s">
        <v>168</v>
      </c>
      <c r="C25" s="13" t="s">
        <v>169</v>
      </c>
      <c r="D25" s="13" t="s">
        <v>66</v>
      </c>
      <c r="E25" s="23">
        <f>일위대가!F185</f>
        <v>1770</v>
      </c>
      <c r="F25" s="23">
        <f>일위대가!H185</f>
        <v>7415</v>
      </c>
      <c r="G25" s="23">
        <f>일위대가!J185</f>
        <v>0</v>
      </c>
      <c r="H25" s="23">
        <f t="shared" si="0"/>
        <v>9185</v>
      </c>
      <c r="I25" s="13" t="s">
        <v>170</v>
      </c>
      <c r="J25" s="13" t="s">
        <v>51</v>
      </c>
      <c r="K25" s="13" t="s">
        <v>51</v>
      </c>
      <c r="L25" s="13" t="s">
        <v>51</v>
      </c>
      <c r="M25" s="13" t="s">
        <v>51</v>
      </c>
      <c r="N25" s="1" t="s">
        <v>51</v>
      </c>
    </row>
    <row r="26" spans="1:14" ht="30" customHeight="1" x14ac:dyDescent="0.3">
      <c r="A26" s="13" t="s">
        <v>179</v>
      </c>
      <c r="B26" s="13" t="s">
        <v>176</v>
      </c>
      <c r="C26" s="13" t="s">
        <v>177</v>
      </c>
      <c r="D26" s="13" t="s">
        <v>66</v>
      </c>
      <c r="E26" s="23">
        <f>일위대가!F193</f>
        <v>2138</v>
      </c>
      <c r="F26" s="23">
        <f>일위대가!H193</f>
        <v>8536</v>
      </c>
      <c r="G26" s="23">
        <f>일위대가!J193</f>
        <v>0</v>
      </c>
      <c r="H26" s="23">
        <f t="shared" si="0"/>
        <v>10674</v>
      </c>
      <c r="I26" s="13" t="s">
        <v>178</v>
      </c>
      <c r="J26" s="13" t="s">
        <v>51</v>
      </c>
      <c r="K26" s="13" t="s">
        <v>51</v>
      </c>
      <c r="L26" s="13" t="s">
        <v>51</v>
      </c>
      <c r="M26" s="13" t="s">
        <v>51</v>
      </c>
      <c r="N26" s="1" t="s">
        <v>51</v>
      </c>
    </row>
    <row r="27" spans="1:14" ht="30" customHeight="1" x14ac:dyDescent="0.3">
      <c r="A27" s="13" t="s">
        <v>184</v>
      </c>
      <c r="B27" s="13" t="s">
        <v>181</v>
      </c>
      <c r="C27" s="13" t="s">
        <v>182</v>
      </c>
      <c r="D27" s="13" t="s">
        <v>66</v>
      </c>
      <c r="E27" s="23">
        <f>일위대가!F201</f>
        <v>16425</v>
      </c>
      <c r="F27" s="23">
        <f>일위대가!H201</f>
        <v>7188</v>
      </c>
      <c r="G27" s="23">
        <f>일위대가!J201</f>
        <v>0</v>
      </c>
      <c r="H27" s="23">
        <f t="shared" si="0"/>
        <v>23613</v>
      </c>
      <c r="I27" s="13" t="s">
        <v>183</v>
      </c>
      <c r="J27" s="13" t="s">
        <v>51</v>
      </c>
      <c r="K27" s="13" t="s">
        <v>51</v>
      </c>
      <c r="L27" s="13" t="s">
        <v>51</v>
      </c>
      <c r="M27" s="13" t="s">
        <v>51</v>
      </c>
      <c r="N27" s="1" t="s">
        <v>51</v>
      </c>
    </row>
    <row r="28" spans="1:14" ht="30" customHeight="1" x14ac:dyDescent="0.3">
      <c r="A28" s="13" t="s">
        <v>189</v>
      </c>
      <c r="B28" s="13" t="s">
        <v>186</v>
      </c>
      <c r="C28" s="13" t="s">
        <v>187</v>
      </c>
      <c r="D28" s="13" t="s">
        <v>66</v>
      </c>
      <c r="E28" s="23">
        <f>일위대가!F209</f>
        <v>1018</v>
      </c>
      <c r="F28" s="23">
        <f>일위대가!H209</f>
        <v>8087</v>
      </c>
      <c r="G28" s="23">
        <f>일위대가!J209</f>
        <v>0</v>
      </c>
      <c r="H28" s="23">
        <f t="shared" si="0"/>
        <v>9105</v>
      </c>
      <c r="I28" s="13" t="s">
        <v>188</v>
      </c>
      <c r="J28" s="13" t="s">
        <v>51</v>
      </c>
      <c r="K28" s="13" t="s">
        <v>51</v>
      </c>
      <c r="L28" s="13" t="s">
        <v>51</v>
      </c>
      <c r="M28" s="13" t="s">
        <v>51</v>
      </c>
      <c r="N28" s="1" t="s">
        <v>51</v>
      </c>
    </row>
    <row r="29" spans="1:14" ht="30" customHeight="1" x14ac:dyDescent="0.3">
      <c r="A29" s="13" t="s">
        <v>194</v>
      </c>
      <c r="B29" s="13" t="s">
        <v>191</v>
      </c>
      <c r="C29" s="13" t="s">
        <v>192</v>
      </c>
      <c r="D29" s="13" t="s">
        <v>66</v>
      </c>
      <c r="E29" s="23">
        <f>일위대가!F217</f>
        <v>1565</v>
      </c>
      <c r="F29" s="23">
        <f>일위대가!H217</f>
        <v>10783</v>
      </c>
      <c r="G29" s="23">
        <f>일위대가!J217</f>
        <v>0</v>
      </c>
      <c r="H29" s="23">
        <f t="shared" si="0"/>
        <v>12348</v>
      </c>
      <c r="I29" s="13" t="s">
        <v>193</v>
      </c>
      <c r="J29" s="13" t="s">
        <v>51</v>
      </c>
      <c r="K29" s="13" t="s">
        <v>51</v>
      </c>
      <c r="L29" s="13" t="s">
        <v>51</v>
      </c>
      <c r="M29" s="13" t="s">
        <v>51</v>
      </c>
      <c r="N29" s="1" t="s">
        <v>51</v>
      </c>
    </row>
    <row r="30" spans="1:14" ht="30" customHeight="1" x14ac:dyDescent="0.3">
      <c r="A30" s="13" t="s">
        <v>204</v>
      </c>
      <c r="B30" s="13" t="s">
        <v>201</v>
      </c>
      <c r="C30" s="13" t="s">
        <v>202</v>
      </c>
      <c r="D30" s="13" t="s">
        <v>66</v>
      </c>
      <c r="E30" s="23">
        <f>일위대가!F225</f>
        <v>2982</v>
      </c>
      <c r="F30" s="23">
        <f>일위대가!H225</f>
        <v>4416</v>
      </c>
      <c r="G30" s="23">
        <f>일위대가!J225</f>
        <v>0</v>
      </c>
      <c r="H30" s="23">
        <f t="shared" si="0"/>
        <v>7398</v>
      </c>
      <c r="I30" s="13" t="s">
        <v>203</v>
      </c>
      <c r="J30" s="13" t="s">
        <v>51</v>
      </c>
      <c r="K30" s="13" t="s">
        <v>51</v>
      </c>
      <c r="L30" s="13" t="s">
        <v>51</v>
      </c>
      <c r="M30" s="13" t="s">
        <v>51</v>
      </c>
      <c r="N30" s="1" t="s">
        <v>51</v>
      </c>
    </row>
    <row r="31" spans="1:14" ht="30" customHeight="1" x14ac:dyDescent="0.3">
      <c r="A31" s="13" t="s">
        <v>217</v>
      </c>
      <c r="B31" s="13" t="s">
        <v>214</v>
      </c>
      <c r="C31" s="13" t="s">
        <v>215</v>
      </c>
      <c r="D31" s="13" t="s">
        <v>66</v>
      </c>
      <c r="E31" s="23">
        <f>일위대가!F231</f>
        <v>20820</v>
      </c>
      <c r="F31" s="23">
        <f>일위대가!H231</f>
        <v>92642</v>
      </c>
      <c r="G31" s="23">
        <f>일위대가!J231</f>
        <v>0</v>
      </c>
      <c r="H31" s="23">
        <f t="shared" si="0"/>
        <v>113462</v>
      </c>
      <c r="I31" s="13" t="s">
        <v>216</v>
      </c>
      <c r="J31" s="13" t="s">
        <v>51</v>
      </c>
      <c r="K31" s="13" t="s">
        <v>51</v>
      </c>
      <c r="L31" s="13" t="s">
        <v>51</v>
      </c>
      <c r="M31" s="13" t="s">
        <v>51</v>
      </c>
      <c r="N31" s="1" t="s">
        <v>51</v>
      </c>
    </row>
    <row r="32" spans="1:14" ht="30" customHeight="1" x14ac:dyDescent="0.3">
      <c r="A32" s="13" t="s">
        <v>223</v>
      </c>
      <c r="B32" s="13" t="s">
        <v>219</v>
      </c>
      <c r="C32" s="13" t="s">
        <v>220</v>
      </c>
      <c r="D32" s="13" t="s">
        <v>221</v>
      </c>
      <c r="E32" s="23">
        <f>일위대가!F242</f>
        <v>14865</v>
      </c>
      <c r="F32" s="23">
        <f>일위대가!H242</f>
        <v>22790</v>
      </c>
      <c r="G32" s="23">
        <f>일위대가!J242</f>
        <v>0</v>
      </c>
      <c r="H32" s="23">
        <f t="shared" si="0"/>
        <v>37655</v>
      </c>
      <c r="I32" s="13" t="s">
        <v>222</v>
      </c>
      <c r="J32" s="13" t="s">
        <v>51</v>
      </c>
      <c r="K32" s="13" t="s">
        <v>51</v>
      </c>
      <c r="L32" s="13" t="s">
        <v>51</v>
      </c>
      <c r="M32" s="13" t="s">
        <v>51</v>
      </c>
      <c r="N32" s="1" t="s">
        <v>51</v>
      </c>
    </row>
    <row r="33" spans="1:14" ht="30" customHeight="1" x14ac:dyDescent="0.3">
      <c r="A33" s="13" t="s">
        <v>319</v>
      </c>
      <c r="B33" s="13" t="s">
        <v>201</v>
      </c>
      <c r="C33" s="13" t="s">
        <v>317</v>
      </c>
      <c r="D33" s="13" t="s">
        <v>66</v>
      </c>
      <c r="E33" s="23">
        <f>일위대가!F250</f>
        <v>6018</v>
      </c>
      <c r="F33" s="23">
        <f>일위대가!H250</f>
        <v>7360</v>
      </c>
      <c r="G33" s="23">
        <f>일위대가!J250</f>
        <v>0</v>
      </c>
      <c r="H33" s="23">
        <f t="shared" si="0"/>
        <v>13378</v>
      </c>
      <c r="I33" s="13" t="s">
        <v>318</v>
      </c>
      <c r="J33" s="13" t="s">
        <v>51</v>
      </c>
      <c r="K33" s="13" t="s">
        <v>51</v>
      </c>
      <c r="L33" s="13" t="s">
        <v>51</v>
      </c>
      <c r="M33" s="13" t="s">
        <v>51</v>
      </c>
      <c r="N33" s="1" t="s">
        <v>51</v>
      </c>
    </row>
    <row r="34" spans="1:14" ht="30" customHeight="1" x14ac:dyDescent="0.3">
      <c r="A34" s="13" t="s">
        <v>324</v>
      </c>
      <c r="B34" s="13" t="s">
        <v>321</v>
      </c>
      <c r="C34" s="13" t="s">
        <v>322</v>
      </c>
      <c r="D34" s="13" t="s">
        <v>221</v>
      </c>
      <c r="E34" s="23">
        <f>일위대가!F257</f>
        <v>6285</v>
      </c>
      <c r="F34" s="23">
        <f>일위대가!H257</f>
        <v>98995</v>
      </c>
      <c r="G34" s="23">
        <f>일위대가!J257</f>
        <v>0</v>
      </c>
      <c r="H34" s="23">
        <f t="shared" si="0"/>
        <v>105280</v>
      </c>
      <c r="I34" s="13" t="s">
        <v>323</v>
      </c>
      <c r="J34" s="13" t="s">
        <v>51</v>
      </c>
      <c r="K34" s="13" t="s">
        <v>51</v>
      </c>
      <c r="L34" s="13" t="s">
        <v>51</v>
      </c>
      <c r="M34" s="13" t="s">
        <v>51</v>
      </c>
      <c r="N34" s="1" t="s">
        <v>51</v>
      </c>
    </row>
    <row r="35" spans="1:14" ht="30" customHeight="1" x14ac:dyDescent="0.3">
      <c r="A35" s="13" t="s">
        <v>344</v>
      </c>
      <c r="B35" s="13" t="s">
        <v>340</v>
      </c>
      <c r="C35" s="13" t="s">
        <v>341</v>
      </c>
      <c r="D35" s="13" t="s">
        <v>342</v>
      </c>
      <c r="E35" s="23">
        <f>일위대가!F263</f>
        <v>40085</v>
      </c>
      <c r="F35" s="23">
        <f>일위대가!H263</f>
        <v>189274</v>
      </c>
      <c r="G35" s="23">
        <f>일위대가!J263</f>
        <v>0</v>
      </c>
      <c r="H35" s="23">
        <f t="shared" si="0"/>
        <v>229359</v>
      </c>
      <c r="I35" s="13" t="s">
        <v>343</v>
      </c>
      <c r="J35" s="13" t="s">
        <v>51</v>
      </c>
      <c r="K35" s="13" t="s">
        <v>51</v>
      </c>
      <c r="L35" s="13" t="s">
        <v>51</v>
      </c>
      <c r="M35" s="13" t="s">
        <v>51</v>
      </c>
      <c r="N35" s="1" t="s">
        <v>51</v>
      </c>
    </row>
    <row r="36" spans="1:14" ht="30" customHeight="1" x14ac:dyDescent="0.3">
      <c r="A36" s="13" t="s">
        <v>350</v>
      </c>
      <c r="B36" s="13" t="s">
        <v>346</v>
      </c>
      <c r="C36" s="13" t="s">
        <v>347</v>
      </c>
      <c r="D36" s="13" t="s">
        <v>348</v>
      </c>
      <c r="E36" s="23">
        <f>일위대가!F270</f>
        <v>20641</v>
      </c>
      <c r="F36" s="23">
        <f>일위대가!H270</f>
        <v>49778</v>
      </c>
      <c r="G36" s="23">
        <f>일위대가!J270</f>
        <v>20549</v>
      </c>
      <c r="H36" s="23">
        <f t="shared" si="0"/>
        <v>90968</v>
      </c>
      <c r="I36" s="13" t="s">
        <v>349</v>
      </c>
      <c r="J36" s="13" t="s">
        <v>51</v>
      </c>
      <c r="K36" s="13" t="s">
        <v>600</v>
      </c>
      <c r="L36" s="13" t="s">
        <v>51</v>
      </c>
      <c r="M36" s="13" t="s">
        <v>51</v>
      </c>
      <c r="N36" s="1" t="s">
        <v>61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7CFA3-FE97-41AC-A1C3-3F5B54FCDB23}">
  <sheetPr>
    <pageSetUpPr fitToPage="1"/>
  </sheetPr>
  <dimension ref="A1:AZ270"/>
  <sheetViews>
    <sheetView view="pageBreakPreview" topLeftCell="A160" zoomScale="85" zoomScaleNormal="100" zoomScaleSheetLayoutView="85" workbookViewId="0">
      <selection activeCell="D171" sqref="D17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37" t="s">
        <v>2</v>
      </c>
      <c r="B2" s="37" t="s">
        <v>3</v>
      </c>
      <c r="C2" s="37" t="s">
        <v>4</v>
      </c>
      <c r="D2" s="37" t="s">
        <v>5</v>
      </c>
      <c r="E2" s="37" t="s">
        <v>6</v>
      </c>
      <c r="F2" s="37"/>
      <c r="G2" s="37" t="s">
        <v>9</v>
      </c>
      <c r="H2" s="37"/>
      <c r="I2" s="37" t="s">
        <v>10</v>
      </c>
      <c r="J2" s="37"/>
      <c r="K2" s="37" t="s">
        <v>11</v>
      </c>
      <c r="L2" s="37"/>
      <c r="M2" s="37" t="s">
        <v>12</v>
      </c>
      <c r="N2" s="33" t="s">
        <v>256</v>
      </c>
      <c r="O2" s="33" t="s">
        <v>20</v>
      </c>
      <c r="P2" s="33" t="s">
        <v>22</v>
      </c>
      <c r="Q2" s="33" t="s">
        <v>23</v>
      </c>
      <c r="R2" s="33" t="s">
        <v>24</v>
      </c>
      <c r="S2" s="33" t="s">
        <v>25</v>
      </c>
      <c r="T2" s="33" t="s">
        <v>26</v>
      </c>
      <c r="U2" s="33" t="s">
        <v>27</v>
      </c>
      <c r="V2" s="33" t="s">
        <v>28</v>
      </c>
      <c r="W2" s="33" t="s">
        <v>29</v>
      </c>
      <c r="X2" s="33" t="s">
        <v>30</v>
      </c>
      <c r="Y2" s="33" t="s">
        <v>31</v>
      </c>
      <c r="Z2" s="33" t="s">
        <v>32</v>
      </c>
      <c r="AA2" s="33" t="s">
        <v>33</v>
      </c>
      <c r="AB2" s="33" t="s">
        <v>34</v>
      </c>
      <c r="AC2" s="33" t="s">
        <v>35</v>
      </c>
      <c r="AD2" s="33" t="s">
        <v>36</v>
      </c>
      <c r="AE2" s="33" t="s">
        <v>37</v>
      </c>
      <c r="AF2" s="33" t="s">
        <v>38</v>
      </c>
      <c r="AG2" s="33" t="s">
        <v>39</v>
      </c>
      <c r="AH2" s="33" t="s">
        <v>40</v>
      </c>
      <c r="AI2" s="33" t="s">
        <v>41</v>
      </c>
      <c r="AJ2" s="33" t="s">
        <v>42</v>
      </c>
      <c r="AK2" s="33" t="s">
        <v>43</v>
      </c>
      <c r="AL2" s="33" t="s">
        <v>44</v>
      </c>
      <c r="AM2" s="33" t="s">
        <v>45</v>
      </c>
      <c r="AN2" s="33" t="s">
        <v>46</v>
      </c>
      <c r="AO2" s="33" t="s">
        <v>47</v>
      </c>
      <c r="AP2" s="33" t="s">
        <v>257</v>
      </c>
      <c r="AQ2" s="33" t="s">
        <v>258</v>
      </c>
      <c r="AR2" s="33" t="s">
        <v>259</v>
      </c>
      <c r="AS2" s="33" t="s">
        <v>260</v>
      </c>
      <c r="AT2" s="33" t="s">
        <v>261</v>
      </c>
      <c r="AU2" s="33" t="s">
        <v>262</v>
      </c>
      <c r="AV2" s="33" t="s">
        <v>48</v>
      </c>
      <c r="AW2" s="33" t="s">
        <v>263</v>
      </c>
      <c r="AX2" s="1" t="s">
        <v>255</v>
      </c>
      <c r="AY2" s="1" t="s">
        <v>21</v>
      </c>
      <c r="AZ2" s="1" t="s">
        <v>264</v>
      </c>
    </row>
    <row r="3" spans="1:52" ht="30" customHeight="1" x14ac:dyDescent="0.3">
      <c r="A3" s="37"/>
      <c r="B3" s="37"/>
      <c r="C3" s="37"/>
      <c r="D3" s="37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37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</row>
    <row r="4" spans="1:52" ht="30" customHeight="1" x14ac:dyDescent="0.3">
      <c r="A4" s="16" t="s">
        <v>265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60</v>
      </c>
    </row>
    <row r="5" spans="1:52" ht="30" customHeight="1" x14ac:dyDescent="0.3">
      <c r="A5" s="19" t="s">
        <v>266</v>
      </c>
      <c r="B5" s="19" t="s">
        <v>267</v>
      </c>
      <c r="C5" s="19" t="s">
        <v>72</v>
      </c>
      <c r="D5" s="20">
        <v>3</v>
      </c>
      <c r="E5" s="22">
        <f>단가대비표!O50</f>
        <v>13381</v>
      </c>
      <c r="F5" s="25">
        <f>TRUNC(E5*D5,1)</f>
        <v>40143</v>
      </c>
      <c r="G5" s="22">
        <f>단가대비표!P50</f>
        <v>0</v>
      </c>
      <c r="H5" s="25">
        <f>TRUNC(G5*D5,1)</f>
        <v>0</v>
      </c>
      <c r="I5" s="22">
        <f>단가대비표!V50</f>
        <v>0</v>
      </c>
      <c r="J5" s="25">
        <f>TRUNC(I5*D5,1)</f>
        <v>0</v>
      </c>
      <c r="K5" s="22">
        <f t="shared" ref="K5:L9" si="0">TRUNC(E5+G5+I5,1)</f>
        <v>13381</v>
      </c>
      <c r="L5" s="25">
        <f t="shared" si="0"/>
        <v>40143</v>
      </c>
      <c r="M5" s="19" t="s">
        <v>51</v>
      </c>
      <c r="N5" s="1" t="s">
        <v>60</v>
      </c>
      <c r="O5" s="1" t="s">
        <v>268</v>
      </c>
      <c r="P5" s="1" t="s">
        <v>62</v>
      </c>
      <c r="Q5" s="1" t="s">
        <v>62</v>
      </c>
      <c r="R5" s="1" t="s">
        <v>61</v>
      </c>
      <c r="AV5" s="1" t="s">
        <v>51</v>
      </c>
      <c r="AW5" s="1" t="s">
        <v>269</v>
      </c>
      <c r="AX5" s="1" t="s">
        <v>51</v>
      </c>
      <c r="AY5" s="1" t="s">
        <v>51</v>
      </c>
      <c r="AZ5" s="1" t="s">
        <v>51</v>
      </c>
    </row>
    <row r="6" spans="1:52" ht="30" customHeight="1" x14ac:dyDescent="0.3">
      <c r="A6" s="19" t="s">
        <v>266</v>
      </c>
      <c r="B6" s="19" t="s">
        <v>270</v>
      </c>
      <c r="C6" s="19" t="s">
        <v>72</v>
      </c>
      <c r="D6" s="20">
        <v>3</v>
      </c>
      <c r="E6" s="22">
        <f>단가대비표!O51</f>
        <v>2976</v>
      </c>
      <c r="F6" s="25">
        <f>TRUNC(E6*D6,1)</f>
        <v>8928</v>
      </c>
      <c r="G6" s="22">
        <f>단가대비표!P51</f>
        <v>0</v>
      </c>
      <c r="H6" s="25">
        <f>TRUNC(G6*D6,1)</f>
        <v>0</v>
      </c>
      <c r="I6" s="22">
        <f>단가대비표!V51</f>
        <v>0</v>
      </c>
      <c r="J6" s="25">
        <f>TRUNC(I6*D6,1)</f>
        <v>0</v>
      </c>
      <c r="K6" s="22">
        <f t="shared" si="0"/>
        <v>2976</v>
      </c>
      <c r="L6" s="25">
        <f t="shared" si="0"/>
        <v>8928</v>
      </c>
      <c r="M6" s="19" t="s">
        <v>51</v>
      </c>
      <c r="N6" s="1" t="s">
        <v>60</v>
      </c>
      <c r="O6" s="1" t="s">
        <v>271</v>
      </c>
      <c r="P6" s="1" t="s">
        <v>62</v>
      </c>
      <c r="Q6" s="1" t="s">
        <v>62</v>
      </c>
      <c r="R6" s="1" t="s">
        <v>61</v>
      </c>
      <c r="AV6" s="1" t="s">
        <v>51</v>
      </c>
      <c r="AW6" s="1" t="s">
        <v>272</v>
      </c>
      <c r="AX6" s="1" t="s">
        <v>51</v>
      </c>
      <c r="AY6" s="1" t="s">
        <v>51</v>
      </c>
      <c r="AZ6" s="1" t="s">
        <v>51</v>
      </c>
    </row>
    <row r="7" spans="1:52" ht="30" customHeight="1" x14ac:dyDescent="0.3">
      <c r="A7" s="19" t="s">
        <v>273</v>
      </c>
      <c r="B7" s="19" t="s">
        <v>274</v>
      </c>
      <c r="C7" s="19" t="s">
        <v>72</v>
      </c>
      <c r="D7" s="20">
        <v>3</v>
      </c>
      <c r="E7" s="22">
        <f>단가대비표!O32</f>
        <v>21707</v>
      </c>
      <c r="F7" s="25">
        <f>TRUNC(E7*D7,1)</f>
        <v>65121</v>
      </c>
      <c r="G7" s="22">
        <f>단가대비표!P32</f>
        <v>0</v>
      </c>
      <c r="H7" s="25">
        <f>TRUNC(G7*D7,1)</f>
        <v>0</v>
      </c>
      <c r="I7" s="22">
        <f>단가대비표!V32</f>
        <v>0</v>
      </c>
      <c r="J7" s="25">
        <f>TRUNC(I7*D7,1)</f>
        <v>0</v>
      </c>
      <c r="K7" s="22">
        <f t="shared" si="0"/>
        <v>21707</v>
      </c>
      <c r="L7" s="25">
        <f t="shared" si="0"/>
        <v>65121</v>
      </c>
      <c r="M7" s="19" t="s">
        <v>51</v>
      </c>
      <c r="N7" s="1" t="s">
        <v>60</v>
      </c>
      <c r="O7" s="1" t="s">
        <v>275</v>
      </c>
      <c r="P7" s="1" t="s">
        <v>62</v>
      </c>
      <c r="Q7" s="1" t="s">
        <v>62</v>
      </c>
      <c r="R7" s="1" t="s">
        <v>61</v>
      </c>
      <c r="AV7" s="1" t="s">
        <v>51</v>
      </c>
      <c r="AW7" s="1" t="s">
        <v>276</v>
      </c>
      <c r="AX7" s="1" t="s">
        <v>51</v>
      </c>
      <c r="AY7" s="1" t="s">
        <v>51</v>
      </c>
      <c r="AZ7" s="1" t="s">
        <v>51</v>
      </c>
    </row>
    <row r="8" spans="1:52" ht="30" customHeight="1" x14ac:dyDescent="0.3">
      <c r="A8" s="19" t="s">
        <v>273</v>
      </c>
      <c r="B8" s="19" t="s">
        <v>277</v>
      </c>
      <c r="C8" s="19" t="s">
        <v>72</v>
      </c>
      <c r="D8" s="20">
        <v>3</v>
      </c>
      <c r="E8" s="22">
        <f>단가대비표!O33</f>
        <v>2470</v>
      </c>
      <c r="F8" s="25">
        <f>TRUNC(E8*D8,1)</f>
        <v>7410</v>
      </c>
      <c r="G8" s="22">
        <f>단가대비표!P33</f>
        <v>0</v>
      </c>
      <c r="H8" s="25">
        <f>TRUNC(G8*D8,1)</f>
        <v>0</v>
      </c>
      <c r="I8" s="22">
        <f>단가대비표!V33</f>
        <v>0</v>
      </c>
      <c r="J8" s="25">
        <f>TRUNC(I8*D8,1)</f>
        <v>0</v>
      </c>
      <c r="K8" s="22">
        <f t="shared" si="0"/>
        <v>2470</v>
      </c>
      <c r="L8" s="25">
        <f t="shared" si="0"/>
        <v>7410</v>
      </c>
      <c r="M8" s="19" t="s">
        <v>51</v>
      </c>
      <c r="N8" s="1" t="s">
        <v>60</v>
      </c>
      <c r="O8" s="1" t="s">
        <v>278</v>
      </c>
      <c r="P8" s="1" t="s">
        <v>62</v>
      </c>
      <c r="Q8" s="1" t="s">
        <v>62</v>
      </c>
      <c r="R8" s="1" t="s">
        <v>61</v>
      </c>
      <c r="AV8" s="1" t="s">
        <v>51</v>
      </c>
      <c r="AW8" s="1" t="s">
        <v>279</v>
      </c>
      <c r="AX8" s="1" t="s">
        <v>51</v>
      </c>
      <c r="AY8" s="1" t="s">
        <v>51</v>
      </c>
      <c r="AZ8" s="1" t="s">
        <v>51</v>
      </c>
    </row>
    <row r="9" spans="1:52" ht="30" customHeight="1" x14ac:dyDescent="0.3">
      <c r="A9" s="19" t="s">
        <v>280</v>
      </c>
      <c r="B9" s="19" t="s">
        <v>281</v>
      </c>
      <c r="C9" s="19" t="s">
        <v>229</v>
      </c>
      <c r="D9" s="20">
        <v>1</v>
      </c>
      <c r="E9" s="22">
        <f>TRUNC(SUMIF(V5:V9, RIGHTB(O9, 1), H5:H9)*U9, 2)</f>
        <v>0</v>
      </c>
      <c r="F9" s="25">
        <f>TRUNC(E9*D9,1)</f>
        <v>0</v>
      </c>
      <c r="G9" s="22">
        <v>0</v>
      </c>
      <c r="H9" s="25">
        <f>TRUNC(G9*D9,1)</f>
        <v>0</v>
      </c>
      <c r="I9" s="22">
        <v>0</v>
      </c>
      <c r="J9" s="25">
        <f>TRUNC(I9*D9,1)</f>
        <v>0</v>
      </c>
      <c r="K9" s="22">
        <f t="shared" si="0"/>
        <v>0</v>
      </c>
      <c r="L9" s="25">
        <f t="shared" si="0"/>
        <v>0</v>
      </c>
      <c r="M9" s="19" t="s">
        <v>51</v>
      </c>
      <c r="N9" s="1" t="s">
        <v>60</v>
      </c>
      <c r="O9" s="1" t="s">
        <v>234</v>
      </c>
      <c r="P9" s="1" t="s">
        <v>62</v>
      </c>
      <c r="Q9" s="1" t="s">
        <v>62</v>
      </c>
      <c r="R9" s="1" t="s">
        <v>62</v>
      </c>
      <c r="S9">
        <v>1</v>
      </c>
      <c r="T9">
        <v>0</v>
      </c>
      <c r="U9">
        <v>0.03</v>
      </c>
      <c r="AV9" s="1" t="s">
        <v>51</v>
      </c>
      <c r="AW9" s="1" t="s">
        <v>282</v>
      </c>
      <c r="AX9" s="1" t="s">
        <v>51</v>
      </c>
      <c r="AY9" s="1" t="s">
        <v>51</v>
      </c>
      <c r="AZ9" s="1" t="s">
        <v>51</v>
      </c>
    </row>
    <row r="10" spans="1:52" ht="30" customHeight="1" x14ac:dyDescent="0.3">
      <c r="A10" s="19" t="s">
        <v>283</v>
      </c>
      <c r="B10" s="19" t="s">
        <v>51</v>
      </c>
      <c r="C10" s="19" t="s">
        <v>51</v>
      </c>
      <c r="D10" s="20"/>
      <c r="E10" s="22"/>
      <c r="F10" s="25">
        <f>TRUNC(SUMIF(N5:N9, N4, F5:F9),0)</f>
        <v>121602</v>
      </c>
      <c r="G10" s="22"/>
      <c r="H10" s="25">
        <f>TRUNC(SUMIF(N5:N9, N4, H5:H9),0)</f>
        <v>0</v>
      </c>
      <c r="I10" s="22"/>
      <c r="J10" s="25">
        <f>TRUNC(SUMIF(N5:N9, N4, J5:J9),0)</f>
        <v>0</v>
      </c>
      <c r="K10" s="22"/>
      <c r="L10" s="25">
        <f>F10+H10+J10</f>
        <v>121602</v>
      </c>
      <c r="M10" s="19" t="s">
        <v>51</v>
      </c>
      <c r="N10" s="1" t="s">
        <v>83</v>
      </c>
      <c r="O10" s="1" t="s">
        <v>83</v>
      </c>
      <c r="P10" s="1" t="s">
        <v>51</v>
      </c>
      <c r="Q10" s="1" t="s">
        <v>51</v>
      </c>
      <c r="R10" s="1" t="s">
        <v>51</v>
      </c>
      <c r="AV10" s="1" t="s">
        <v>51</v>
      </c>
      <c r="AW10" s="1" t="s">
        <v>51</v>
      </c>
      <c r="AX10" s="1" t="s">
        <v>51</v>
      </c>
      <c r="AY10" s="1" t="s">
        <v>51</v>
      </c>
      <c r="AZ10" s="1" t="s">
        <v>51</v>
      </c>
    </row>
    <row r="11" spans="1:52" ht="30" customHeight="1" x14ac:dyDescent="0.3">
      <c r="A11" s="20"/>
      <c r="B11" s="20"/>
      <c r="C11" s="20"/>
      <c r="D11" s="20"/>
      <c r="E11" s="22"/>
      <c r="F11" s="25"/>
      <c r="G11" s="22"/>
      <c r="H11" s="25"/>
      <c r="I11" s="22"/>
      <c r="J11" s="25"/>
      <c r="K11" s="22"/>
      <c r="L11" s="25"/>
      <c r="M11" s="20"/>
    </row>
    <row r="12" spans="1:52" ht="30" customHeight="1" x14ac:dyDescent="0.3">
      <c r="A12" s="16" t="s">
        <v>284</v>
      </c>
      <c r="B12" s="17"/>
      <c r="C12" s="17"/>
      <c r="D12" s="17"/>
      <c r="E12" s="21"/>
      <c r="F12" s="24"/>
      <c r="G12" s="21"/>
      <c r="H12" s="24"/>
      <c r="I12" s="21"/>
      <c r="J12" s="24"/>
      <c r="K12" s="21"/>
      <c r="L12" s="24"/>
      <c r="M12" s="18"/>
      <c r="N12" s="1" t="s">
        <v>68</v>
      </c>
    </row>
    <row r="13" spans="1:52" ht="30" customHeight="1" x14ac:dyDescent="0.3">
      <c r="A13" s="19" t="s">
        <v>64</v>
      </c>
      <c r="B13" s="19" t="s">
        <v>285</v>
      </c>
      <c r="C13" s="19" t="s">
        <v>66</v>
      </c>
      <c r="D13" s="20">
        <v>1</v>
      </c>
      <c r="E13" s="22">
        <f>단가대비표!O44</f>
        <v>1852</v>
      </c>
      <c r="F13" s="25">
        <f t="shared" ref="F13:F18" si="1">TRUNC(E13*D13,1)</f>
        <v>1852</v>
      </c>
      <c r="G13" s="22">
        <f>단가대비표!P44</f>
        <v>0</v>
      </c>
      <c r="H13" s="25">
        <f t="shared" ref="H13:H18" si="2">TRUNC(G13*D13,1)</f>
        <v>0</v>
      </c>
      <c r="I13" s="22">
        <f>단가대비표!V44</f>
        <v>0</v>
      </c>
      <c r="J13" s="25">
        <f t="shared" ref="J13:J18" si="3">TRUNC(I13*D13,1)</f>
        <v>0</v>
      </c>
      <c r="K13" s="22">
        <f t="shared" ref="K13:L18" si="4">TRUNC(E13+G13+I13,1)</f>
        <v>1852</v>
      </c>
      <c r="L13" s="25">
        <f t="shared" si="4"/>
        <v>1852</v>
      </c>
      <c r="M13" s="19" t="s">
        <v>51</v>
      </c>
      <c r="N13" s="1" t="s">
        <v>68</v>
      </c>
      <c r="O13" s="1" t="s">
        <v>286</v>
      </c>
      <c r="P13" s="1" t="s">
        <v>62</v>
      </c>
      <c r="Q13" s="1" t="s">
        <v>62</v>
      </c>
      <c r="R13" s="1" t="s">
        <v>61</v>
      </c>
      <c r="V13">
        <v>1</v>
      </c>
      <c r="W13">
        <v>2</v>
      </c>
      <c r="AV13" s="1" t="s">
        <v>51</v>
      </c>
      <c r="AW13" s="1" t="s">
        <v>287</v>
      </c>
      <c r="AX13" s="1" t="s">
        <v>51</v>
      </c>
      <c r="AY13" s="1" t="s">
        <v>51</v>
      </c>
      <c r="AZ13" s="1" t="s">
        <v>51</v>
      </c>
    </row>
    <row r="14" spans="1:52" ht="30" customHeight="1" x14ac:dyDescent="0.3">
      <c r="A14" s="19" t="s">
        <v>64</v>
      </c>
      <c r="B14" s="19" t="s">
        <v>285</v>
      </c>
      <c r="C14" s="19" t="s">
        <v>66</v>
      </c>
      <c r="D14" s="20">
        <v>0.1</v>
      </c>
      <c r="E14" s="22">
        <f>단가대비표!O44</f>
        <v>1852</v>
      </c>
      <c r="F14" s="25">
        <f t="shared" si="1"/>
        <v>185.2</v>
      </c>
      <c r="G14" s="22">
        <f>단가대비표!P44</f>
        <v>0</v>
      </c>
      <c r="H14" s="25">
        <f t="shared" si="2"/>
        <v>0</v>
      </c>
      <c r="I14" s="22">
        <f>단가대비표!V44</f>
        <v>0</v>
      </c>
      <c r="J14" s="25">
        <f t="shared" si="3"/>
        <v>0</v>
      </c>
      <c r="K14" s="22">
        <f t="shared" si="4"/>
        <v>1852</v>
      </c>
      <c r="L14" s="25">
        <f t="shared" si="4"/>
        <v>185.2</v>
      </c>
      <c r="M14" s="19" t="s">
        <v>51</v>
      </c>
      <c r="N14" s="1" t="s">
        <v>68</v>
      </c>
      <c r="O14" s="1" t="s">
        <v>286</v>
      </c>
      <c r="P14" s="1" t="s">
        <v>62</v>
      </c>
      <c r="Q14" s="1" t="s">
        <v>62</v>
      </c>
      <c r="R14" s="1" t="s">
        <v>61</v>
      </c>
      <c r="AV14" s="1" t="s">
        <v>51</v>
      </c>
      <c r="AW14" s="1" t="s">
        <v>287</v>
      </c>
      <c r="AX14" s="1" t="s">
        <v>51</v>
      </c>
      <c r="AY14" s="1" t="s">
        <v>51</v>
      </c>
      <c r="AZ14" s="1" t="s">
        <v>51</v>
      </c>
    </row>
    <row r="15" spans="1:52" ht="30" customHeight="1" x14ac:dyDescent="0.3">
      <c r="A15" s="19" t="s">
        <v>288</v>
      </c>
      <c r="B15" s="19" t="s">
        <v>289</v>
      </c>
      <c r="C15" s="19" t="s">
        <v>229</v>
      </c>
      <c r="D15" s="20">
        <v>1</v>
      </c>
      <c r="E15" s="22">
        <f>TRUNC(SUMIF(V13:V18, RIGHTB(O15, 1), F13:F18)*U15, 2)</f>
        <v>370.4</v>
      </c>
      <c r="F15" s="25">
        <f t="shared" si="1"/>
        <v>370.4</v>
      </c>
      <c r="G15" s="22">
        <v>0</v>
      </c>
      <c r="H15" s="25">
        <f t="shared" si="2"/>
        <v>0</v>
      </c>
      <c r="I15" s="22">
        <v>0</v>
      </c>
      <c r="J15" s="25">
        <f t="shared" si="3"/>
        <v>0</v>
      </c>
      <c r="K15" s="22">
        <f t="shared" si="4"/>
        <v>370.4</v>
      </c>
      <c r="L15" s="25">
        <f t="shared" si="4"/>
        <v>370.4</v>
      </c>
      <c r="M15" s="19" t="s">
        <v>51</v>
      </c>
      <c r="N15" s="1" t="s">
        <v>68</v>
      </c>
      <c r="O15" s="1" t="s">
        <v>234</v>
      </c>
      <c r="P15" s="1" t="s">
        <v>62</v>
      </c>
      <c r="Q15" s="1" t="s">
        <v>62</v>
      </c>
      <c r="R15" s="1" t="s">
        <v>62</v>
      </c>
      <c r="S15">
        <v>0</v>
      </c>
      <c r="T15">
        <v>0</v>
      </c>
      <c r="U15">
        <v>0.2</v>
      </c>
      <c r="AV15" s="1" t="s">
        <v>51</v>
      </c>
      <c r="AW15" s="1" t="s">
        <v>290</v>
      </c>
      <c r="AX15" s="1" t="s">
        <v>51</v>
      </c>
      <c r="AY15" s="1" t="s">
        <v>51</v>
      </c>
      <c r="AZ15" s="1" t="s">
        <v>51</v>
      </c>
    </row>
    <row r="16" spans="1:52" ht="30" customHeight="1" x14ac:dyDescent="0.3">
      <c r="A16" s="19" t="s">
        <v>291</v>
      </c>
      <c r="B16" s="19" t="s">
        <v>292</v>
      </c>
      <c r="C16" s="19" t="s">
        <v>229</v>
      </c>
      <c r="D16" s="20">
        <v>1</v>
      </c>
      <c r="E16" s="22">
        <f>TRUNC(SUMIF(W13:W18, RIGHTB(O16, 1), F13:F18)*U16, 2)</f>
        <v>37.04</v>
      </c>
      <c r="F16" s="25">
        <f t="shared" si="1"/>
        <v>37</v>
      </c>
      <c r="G16" s="22">
        <v>0</v>
      </c>
      <c r="H16" s="25">
        <f t="shared" si="2"/>
        <v>0</v>
      </c>
      <c r="I16" s="22">
        <v>0</v>
      </c>
      <c r="J16" s="25">
        <f t="shared" si="3"/>
        <v>0</v>
      </c>
      <c r="K16" s="22">
        <f t="shared" si="4"/>
        <v>37</v>
      </c>
      <c r="L16" s="25">
        <f t="shared" si="4"/>
        <v>37</v>
      </c>
      <c r="M16" s="19" t="s">
        <v>51</v>
      </c>
      <c r="N16" s="1" t="s">
        <v>68</v>
      </c>
      <c r="O16" s="1" t="s">
        <v>293</v>
      </c>
      <c r="P16" s="1" t="s">
        <v>62</v>
      </c>
      <c r="Q16" s="1" t="s">
        <v>62</v>
      </c>
      <c r="R16" s="1" t="s">
        <v>62</v>
      </c>
      <c r="S16">
        <v>0</v>
      </c>
      <c r="T16">
        <v>0</v>
      </c>
      <c r="U16">
        <v>0.02</v>
      </c>
      <c r="AV16" s="1" t="s">
        <v>51</v>
      </c>
      <c r="AW16" s="1" t="s">
        <v>294</v>
      </c>
      <c r="AX16" s="1" t="s">
        <v>51</v>
      </c>
      <c r="AY16" s="1" t="s">
        <v>51</v>
      </c>
      <c r="AZ16" s="1" t="s">
        <v>51</v>
      </c>
    </row>
    <row r="17" spans="1:52" ht="30" customHeight="1" x14ac:dyDescent="0.3">
      <c r="A17" s="19" t="s">
        <v>295</v>
      </c>
      <c r="B17" s="19" t="s">
        <v>296</v>
      </c>
      <c r="C17" s="19" t="s">
        <v>297</v>
      </c>
      <c r="D17" s="20">
        <f>공량산출근거서!K16</f>
        <v>0.13300000000000001</v>
      </c>
      <c r="E17" s="22">
        <f>단가대비표!O63</f>
        <v>0</v>
      </c>
      <c r="F17" s="25">
        <f t="shared" si="1"/>
        <v>0</v>
      </c>
      <c r="G17" s="22">
        <f>단가대비표!P63</f>
        <v>284880</v>
      </c>
      <c r="H17" s="25">
        <f t="shared" si="2"/>
        <v>37889</v>
      </c>
      <c r="I17" s="22">
        <f>단가대비표!V63</f>
        <v>0</v>
      </c>
      <c r="J17" s="25">
        <f t="shared" si="3"/>
        <v>0</v>
      </c>
      <c r="K17" s="22">
        <f t="shared" si="4"/>
        <v>284880</v>
      </c>
      <c r="L17" s="25">
        <f t="shared" si="4"/>
        <v>37889</v>
      </c>
      <c r="M17" s="19" t="s">
        <v>51</v>
      </c>
      <c r="N17" s="1" t="s">
        <v>68</v>
      </c>
      <c r="O17" s="1" t="s">
        <v>298</v>
      </c>
      <c r="P17" s="1" t="s">
        <v>62</v>
      </c>
      <c r="Q17" s="1" t="s">
        <v>62</v>
      </c>
      <c r="R17" s="1" t="s">
        <v>61</v>
      </c>
      <c r="X17">
        <v>3</v>
      </c>
      <c r="AV17" s="1" t="s">
        <v>51</v>
      </c>
      <c r="AW17" s="1" t="s">
        <v>299</v>
      </c>
      <c r="AX17" s="1" t="s">
        <v>51</v>
      </c>
      <c r="AY17" s="1" t="s">
        <v>51</v>
      </c>
      <c r="AZ17" s="1" t="s">
        <v>51</v>
      </c>
    </row>
    <row r="18" spans="1:52" ht="30" customHeight="1" x14ac:dyDescent="0.3">
      <c r="A18" s="19" t="s">
        <v>280</v>
      </c>
      <c r="B18" s="19" t="s">
        <v>281</v>
      </c>
      <c r="C18" s="19" t="s">
        <v>229</v>
      </c>
      <c r="D18" s="20">
        <v>1</v>
      </c>
      <c r="E18" s="22">
        <v>0</v>
      </c>
      <c r="F18" s="25">
        <f t="shared" si="1"/>
        <v>0</v>
      </c>
      <c r="G18" s="22">
        <f>TRUNC(SUMIF(X13:X18, RIGHTB(O18, 1), H13:H18)*U18, 2)</f>
        <v>1136.67</v>
      </c>
      <c r="H18" s="25">
        <f t="shared" si="2"/>
        <v>1136.5999999999999</v>
      </c>
      <c r="I18" s="22">
        <v>0</v>
      </c>
      <c r="J18" s="25">
        <f t="shared" si="3"/>
        <v>0</v>
      </c>
      <c r="K18" s="22">
        <f t="shared" si="4"/>
        <v>1136.5999999999999</v>
      </c>
      <c r="L18" s="25">
        <f t="shared" si="4"/>
        <v>1136.5999999999999</v>
      </c>
      <c r="M18" s="19" t="s">
        <v>51</v>
      </c>
      <c r="N18" s="1" t="s">
        <v>68</v>
      </c>
      <c r="O18" s="1" t="s">
        <v>300</v>
      </c>
      <c r="P18" s="1" t="s">
        <v>62</v>
      </c>
      <c r="Q18" s="1" t="s">
        <v>62</v>
      </c>
      <c r="R18" s="1" t="s">
        <v>62</v>
      </c>
      <c r="S18">
        <v>1</v>
      </c>
      <c r="T18">
        <v>1</v>
      </c>
      <c r="U18">
        <v>0.03</v>
      </c>
      <c r="AV18" s="1" t="s">
        <v>51</v>
      </c>
      <c r="AW18" s="1" t="s">
        <v>301</v>
      </c>
      <c r="AX18" s="1" t="s">
        <v>51</v>
      </c>
      <c r="AY18" s="1" t="s">
        <v>51</v>
      </c>
      <c r="AZ18" s="1" t="s">
        <v>51</v>
      </c>
    </row>
    <row r="19" spans="1:52" ht="30" customHeight="1" x14ac:dyDescent="0.3">
      <c r="A19" s="19" t="s">
        <v>283</v>
      </c>
      <c r="B19" s="19" t="s">
        <v>51</v>
      </c>
      <c r="C19" s="19" t="s">
        <v>51</v>
      </c>
      <c r="D19" s="20"/>
      <c r="E19" s="22"/>
      <c r="F19" s="25">
        <f>TRUNC(SUMIF(N13:N18, N12, F13:F18),0)</f>
        <v>2444</v>
      </c>
      <c r="G19" s="22"/>
      <c r="H19" s="25">
        <f>TRUNC(SUMIF(N13:N18, N12, H13:H18),0)</f>
        <v>39025</v>
      </c>
      <c r="I19" s="22"/>
      <c r="J19" s="25">
        <f>TRUNC(SUMIF(N13:N18, N12, J13:J18),0)</f>
        <v>0</v>
      </c>
      <c r="K19" s="22"/>
      <c r="L19" s="25">
        <f>F19+H19+J19</f>
        <v>41469</v>
      </c>
      <c r="M19" s="19" t="s">
        <v>51</v>
      </c>
      <c r="N19" s="1" t="s">
        <v>83</v>
      </c>
      <c r="O19" s="1" t="s">
        <v>83</v>
      </c>
      <c r="P19" s="1" t="s">
        <v>51</v>
      </c>
      <c r="Q19" s="1" t="s">
        <v>51</v>
      </c>
      <c r="R19" s="1" t="s">
        <v>51</v>
      </c>
      <c r="AV19" s="1" t="s">
        <v>51</v>
      </c>
      <c r="AW19" s="1" t="s">
        <v>51</v>
      </c>
      <c r="AX19" s="1" t="s">
        <v>51</v>
      </c>
      <c r="AY19" s="1" t="s">
        <v>51</v>
      </c>
      <c r="AZ19" s="1" t="s">
        <v>51</v>
      </c>
    </row>
    <row r="20" spans="1:52" ht="30" customHeight="1" x14ac:dyDescent="0.3">
      <c r="A20" s="20"/>
      <c r="B20" s="20"/>
      <c r="C20" s="20"/>
      <c r="D20" s="20"/>
      <c r="E20" s="22"/>
      <c r="F20" s="25"/>
      <c r="G20" s="22"/>
      <c r="H20" s="25"/>
      <c r="I20" s="22"/>
      <c r="J20" s="25"/>
      <c r="K20" s="22"/>
      <c r="L20" s="25"/>
      <c r="M20" s="20"/>
    </row>
    <row r="21" spans="1:52" ht="30" customHeight="1" x14ac:dyDescent="0.3">
      <c r="A21" s="16" t="s">
        <v>302</v>
      </c>
      <c r="B21" s="17"/>
      <c r="C21" s="17"/>
      <c r="D21" s="17"/>
      <c r="E21" s="21"/>
      <c r="F21" s="24"/>
      <c r="G21" s="21"/>
      <c r="H21" s="24"/>
      <c r="I21" s="21"/>
      <c r="J21" s="24"/>
      <c r="K21" s="21"/>
      <c r="L21" s="24"/>
      <c r="M21" s="18"/>
      <c r="N21" s="1" t="s">
        <v>74</v>
      </c>
    </row>
    <row r="22" spans="1:52" ht="30" customHeight="1" x14ac:dyDescent="0.3">
      <c r="A22" s="19" t="s">
        <v>303</v>
      </c>
      <c r="B22" s="19" t="s">
        <v>304</v>
      </c>
      <c r="C22" s="19" t="s">
        <v>72</v>
      </c>
      <c r="D22" s="20">
        <v>1</v>
      </c>
      <c r="E22" s="22">
        <f>단가대비표!O28</f>
        <v>2856</v>
      </c>
      <c r="F22" s="25">
        <f>TRUNC(E22*D22,1)</f>
        <v>2856</v>
      </c>
      <c r="G22" s="22">
        <f>단가대비표!P28</f>
        <v>0</v>
      </c>
      <c r="H22" s="25">
        <f>TRUNC(G22*D22,1)</f>
        <v>0</v>
      </c>
      <c r="I22" s="22">
        <f>단가대비표!V28</f>
        <v>0</v>
      </c>
      <c r="J22" s="25">
        <f>TRUNC(I22*D22,1)</f>
        <v>0</v>
      </c>
      <c r="K22" s="22">
        <f t="shared" ref="K22:L24" si="5">TRUNC(E22+G22+I22,1)</f>
        <v>2856</v>
      </c>
      <c r="L22" s="25">
        <f t="shared" si="5"/>
        <v>2856</v>
      </c>
      <c r="M22" s="19" t="s">
        <v>51</v>
      </c>
      <c r="N22" s="1" t="s">
        <v>74</v>
      </c>
      <c r="O22" s="1" t="s">
        <v>305</v>
      </c>
      <c r="P22" s="1" t="s">
        <v>62</v>
      </c>
      <c r="Q22" s="1" t="s">
        <v>62</v>
      </c>
      <c r="R22" s="1" t="s">
        <v>61</v>
      </c>
      <c r="AV22" s="1" t="s">
        <v>51</v>
      </c>
      <c r="AW22" s="1" t="s">
        <v>306</v>
      </c>
      <c r="AX22" s="1" t="s">
        <v>51</v>
      </c>
      <c r="AY22" s="1" t="s">
        <v>51</v>
      </c>
      <c r="AZ22" s="1" t="s">
        <v>51</v>
      </c>
    </row>
    <row r="23" spans="1:52" ht="30" customHeight="1" x14ac:dyDescent="0.3">
      <c r="A23" s="19" t="s">
        <v>295</v>
      </c>
      <c r="B23" s="19" t="s">
        <v>296</v>
      </c>
      <c r="C23" s="19" t="s">
        <v>297</v>
      </c>
      <c r="D23" s="20">
        <f>공량산출근거서!K19</f>
        <v>0.22</v>
      </c>
      <c r="E23" s="22">
        <f>단가대비표!O63</f>
        <v>0</v>
      </c>
      <c r="F23" s="25">
        <f>TRUNC(E23*D23,1)</f>
        <v>0</v>
      </c>
      <c r="G23" s="22">
        <f>단가대비표!P63</f>
        <v>284880</v>
      </c>
      <c r="H23" s="25">
        <f>TRUNC(G23*D23,1)</f>
        <v>62673.599999999999</v>
      </c>
      <c r="I23" s="22">
        <f>단가대비표!V63</f>
        <v>0</v>
      </c>
      <c r="J23" s="25">
        <f>TRUNC(I23*D23,1)</f>
        <v>0</v>
      </c>
      <c r="K23" s="22">
        <f t="shared" si="5"/>
        <v>284880</v>
      </c>
      <c r="L23" s="25">
        <f t="shared" si="5"/>
        <v>62673.599999999999</v>
      </c>
      <c r="M23" s="19" t="s">
        <v>51</v>
      </c>
      <c r="N23" s="1" t="s">
        <v>74</v>
      </c>
      <c r="O23" s="1" t="s">
        <v>298</v>
      </c>
      <c r="P23" s="1" t="s">
        <v>62</v>
      </c>
      <c r="Q23" s="1" t="s">
        <v>62</v>
      </c>
      <c r="R23" s="1" t="s">
        <v>61</v>
      </c>
      <c r="V23">
        <v>1</v>
      </c>
      <c r="AV23" s="1" t="s">
        <v>51</v>
      </c>
      <c r="AW23" s="1" t="s">
        <v>307</v>
      </c>
      <c r="AX23" s="1" t="s">
        <v>51</v>
      </c>
      <c r="AY23" s="1" t="s">
        <v>51</v>
      </c>
      <c r="AZ23" s="1" t="s">
        <v>51</v>
      </c>
    </row>
    <row r="24" spans="1:52" ht="30" customHeight="1" x14ac:dyDescent="0.3">
      <c r="A24" s="19" t="s">
        <v>280</v>
      </c>
      <c r="B24" s="19" t="s">
        <v>281</v>
      </c>
      <c r="C24" s="19" t="s">
        <v>229</v>
      </c>
      <c r="D24" s="20">
        <v>1</v>
      </c>
      <c r="E24" s="22">
        <v>0</v>
      </c>
      <c r="F24" s="25">
        <f>TRUNC(E24*D24,1)</f>
        <v>0</v>
      </c>
      <c r="G24" s="22">
        <f>TRUNC(SUMIF(V22:V24, RIGHTB(O24, 1), H22:H24)*U24, 2)</f>
        <v>1880.2</v>
      </c>
      <c r="H24" s="25">
        <f>TRUNC(G24*D24,1)</f>
        <v>1880.2</v>
      </c>
      <c r="I24" s="22">
        <v>0</v>
      </c>
      <c r="J24" s="25">
        <f>TRUNC(I24*D24,1)</f>
        <v>0</v>
      </c>
      <c r="K24" s="22">
        <f t="shared" si="5"/>
        <v>1880.2</v>
      </c>
      <c r="L24" s="25">
        <f t="shared" si="5"/>
        <v>1880.2</v>
      </c>
      <c r="M24" s="19" t="s">
        <v>51</v>
      </c>
      <c r="N24" s="1" t="s">
        <v>74</v>
      </c>
      <c r="O24" s="1" t="s">
        <v>234</v>
      </c>
      <c r="P24" s="1" t="s">
        <v>62</v>
      </c>
      <c r="Q24" s="1" t="s">
        <v>62</v>
      </c>
      <c r="R24" s="1" t="s">
        <v>62</v>
      </c>
      <c r="S24">
        <v>1</v>
      </c>
      <c r="T24">
        <v>1</v>
      </c>
      <c r="U24">
        <v>0.03</v>
      </c>
      <c r="AV24" s="1" t="s">
        <v>51</v>
      </c>
      <c r="AW24" s="1" t="s">
        <v>308</v>
      </c>
      <c r="AX24" s="1" t="s">
        <v>51</v>
      </c>
      <c r="AY24" s="1" t="s">
        <v>51</v>
      </c>
      <c r="AZ24" s="1" t="s">
        <v>51</v>
      </c>
    </row>
    <row r="25" spans="1:52" ht="30" customHeight="1" x14ac:dyDescent="0.3">
      <c r="A25" s="19" t="s">
        <v>283</v>
      </c>
      <c r="B25" s="19" t="s">
        <v>51</v>
      </c>
      <c r="C25" s="19" t="s">
        <v>51</v>
      </c>
      <c r="D25" s="20"/>
      <c r="E25" s="22"/>
      <c r="F25" s="25">
        <f>TRUNC(SUMIF(N22:N24, N21, F22:F24),0)</f>
        <v>2856</v>
      </c>
      <c r="G25" s="22"/>
      <c r="H25" s="25">
        <f>TRUNC(SUMIF(N22:N24, N21, H22:H24),0)</f>
        <v>64553</v>
      </c>
      <c r="I25" s="22"/>
      <c r="J25" s="25">
        <f>TRUNC(SUMIF(N22:N24, N21, J22:J24),0)</f>
        <v>0</v>
      </c>
      <c r="K25" s="22"/>
      <c r="L25" s="25">
        <f>F25+H25+J25</f>
        <v>67409</v>
      </c>
      <c r="M25" s="19" t="s">
        <v>51</v>
      </c>
      <c r="N25" s="1" t="s">
        <v>83</v>
      </c>
      <c r="O25" s="1" t="s">
        <v>83</v>
      </c>
      <c r="P25" s="1" t="s">
        <v>51</v>
      </c>
      <c r="Q25" s="1" t="s">
        <v>51</v>
      </c>
      <c r="R25" s="1" t="s">
        <v>51</v>
      </c>
      <c r="AV25" s="1" t="s">
        <v>51</v>
      </c>
      <c r="AW25" s="1" t="s">
        <v>51</v>
      </c>
      <c r="AX25" s="1" t="s">
        <v>51</v>
      </c>
      <c r="AY25" s="1" t="s">
        <v>51</v>
      </c>
      <c r="AZ25" s="1" t="s">
        <v>51</v>
      </c>
    </row>
    <row r="26" spans="1:52" ht="30" customHeight="1" x14ac:dyDescent="0.3">
      <c r="A26" s="20"/>
      <c r="B26" s="20"/>
      <c r="C26" s="20"/>
      <c r="D26" s="20"/>
      <c r="E26" s="22"/>
      <c r="F26" s="25"/>
      <c r="G26" s="22"/>
      <c r="H26" s="25"/>
      <c r="I26" s="22"/>
      <c r="J26" s="25"/>
      <c r="K26" s="22"/>
      <c r="L26" s="25"/>
      <c r="M26" s="20"/>
    </row>
    <row r="27" spans="1:52" ht="30" customHeight="1" x14ac:dyDescent="0.3">
      <c r="A27" s="16" t="s">
        <v>309</v>
      </c>
      <c r="B27" s="17"/>
      <c r="C27" s="17"/>
      <c r="D27" s="17"/>
      <c r="E27" s="21"/>
      <c r="F27" s="24"/>
      <c r="G27" s="21"/>
      <c r="H27" s="24"/>
      <c r="I27" s="21"/>
      <c r="J27" s="24"/>
      <c r="K27" s="21"/>
      <c r="L27" s="24"/>
      <c r="M27" s="18"/>
      <c r="N27" s="1" t="s">
        <v>80</v>
      </c>
    </row>
    <row r="28" spans="1:52" ht="30" customHeight="1" x14ac:dyDescent="0.3">
      <c r="A28" s="19" t="s">
        <v>310</v>
      </c>
      <c r="B28" s="19" t="s">
        <v>311</v>
      </c>
      <c r="C28" s="19" t="s">
        <v>78</v>
      </c>
      <c r="D28" s="20">
        <v>1</v>
      </c>
      <c r="E28" s="22">
        <f>단가대비표!O22</f>
        <v>110000</v>
      </c>
      <c r="F28" s="25">
        <f t="shared" ref="F28:F41" si="6">TRUNC(E28*D28,1)</f>
        <v>110000</v>
      </c>
      <c r="G28" s="22">
        <f>단가대비표!P22</f>
        <v>0</v>
      </c>
      <c r="H28" s="25">
        <f t="shared" ref="H28:H41" si="7">TRUNC(G28*D28,1)</f>
        <v>0</v>
      </c>
      <c r="I28" s="22">
        <f>단가대비표!V22</f>
        <v>0</v>
      </c>
      <c r="J28" s="25">
        <f t="shared" ref="J28:J41" si="8">TRUNC(I28*D28,1)</f>
        <v>0</v>
      </c>
      <c r="K28" s="22">
        <f t="shared" ref="K28:K41" si="9">TRUNC(E28+G28+I28,1)</f>
        <v>110000</v>
      </c>
      <c r="L28" s="25">
        <f t="shared" ref="L28:L41" si="10">TRUNC(F28+H28+J28,1)</f>
        <v>110000</v>
      </c>
      <c r="M28" s="19" t="s">
        <v>51</v>
      </c>
      <c r="N28" s="1" t="s">
        <v>80</v>
      </c>
      <c r="O28" s="1" t="s">
        <v>312</v>
      </c>
      <c r="P28" s="1" t="s">
        <v>62</v>
      </c>
      <c r="Q28" s="1" t="s">
        <v>62</v>
      </c>
      <c r="R28" s="1" t="s">
        <v>61</v>
      </c>
      <c r="AV28" s="1" t="s">
        <v>51</v>
      </c>
      <c r="AW28" s="1" t="s">
        <v>313</v>
      </c>
      <c r="AX28" s="1" t="s">
        <v>51</v>
      </c>
      <c r="AY28" s="1" t="s">
        <v>51</v>
      </c>
      <c r="AZ28" s="1" t="s">
        <v>51</v>
      </c>
    </row>
    <row r="29" spans="1:52" ht="30" customHeight="1" x14ac:dyDescent="0.3">
      <c r="A29" s="19" t="s">
        <v>310</v>
      </c>
      <c r="B29" s="19" t="s">
        <v>314</v>
      </c>
      <c r="C29" s="19" t="s">
        <v>78</v>
      </c>
      <c r="D29" s="20">
        <v>1</v>
      </c>
      <c r="E29" s="22">
        <f>단가대비표!O23</f>
        <v>778000</v>
      </c>
      <c r="F29" s="25">
        <f t="shared" si="6"/>
        <v>778000</v>
      </c>
      <c r="G29" s="22">
        <f>단가대비표!P23</f>
        <v>0</v>
      </c>
      <c r="H29" s="25">
        <f t="shared" si="7"/>
        <v>0</v>
      </c>
      <c r="I29" s="22">
        <f>단가대비표!V23</f>
        <v>0</v>
      </c>
      <c r="J29" s="25">
        <f t="shared" si="8"/>
        <v>0</v>
      </c>
      <c r="K29" s="22">
        <f t="shared" si="9"/>
        <v>778000</v>
      </c>
      <c r="L29" s="25">
        <f t="shared" si="10"/>
        <v>778000</v>
      </c>
      <c r="M29" s="19" t="s">
        <v>51</v>
      </c>
      <c r="N29" s="1" t="s">
        <v>80</v>
      </c>
      <c r="O29" s="1" t="s">
        <v>315</v>
      </c>
      <c r="P29" s="1" t="s">
        <v>62</v>
      </c>
      <c r="Q29" s="1" t="s">
        <v>62</v>
      </c>
      <c r="R29" s="1" t="s">
        <v>61</v>
      </c>
      <c r="AV29" s="1" t="s">
        <v>51</v>
      </c>
      <c r="AW29" s="1" t="s">
        <v>316</v>
      </c>
      <c r="AX29" s="1" t="s">
        <v>51</v>
      </c>
      <c r="AY29" s="1" t="s">
        <v>51</v>
      </c>
      <c r="AZ29" s="1" t="s">
        <v>51</v>
      </c>
    </row>
    <row r="30" spans="1:52" ht="30" customHeight="1" x14ac:dyDescent="0.3">
      <c r="A30" s="19" t="s">
        <v>201</v>
      </c>
      <c r="B30" s="19" t="s">
        <v>317</v>
      </c>
      <c r="C30" s="19" t="s">
        <v>66</v>
      </c>
      <c r="D30" s="20">
        <v>5</v>
      </c>
      <c r="E30" s="22">
        <f>일위대가목록!E33</f>
        <v>6018</v>
      </c>
      <c r="F30" s="25">
        <f t="shared" si="6"/>
        <v>30090</v>
      </c>
      <c r="G30" s="22">
        <f>일위대가목록!F33</f>
        <v>7360</v>
      </c>
      <c r="H30" s="25">
        <f t="shared" si="7"/>
        <v>36800</v>
      </c>
      <c r="I30" s="22">
        <f>일위대가목록!G33</f>
        <v>0</v>
      </c>
      <c r="J30" s="25">
        <f t="shared" si="8"/>
        <v>0</v>
      </c>
      <c r="K30" s="22">
        <f t="shared" si="9"/>
        <v>13378</v>
      </c>
      <c r="L30" s="25">
        <f t="shared" si="10"/>
        <v>66890</v>
      </c>
      <c r="M30" s="19" t="s">
        <v>318</v>
      </c>
      <c r="N30" s="1" t="s">
        <v>80</v>
      </c>
      <c r="O30" s="1" t="s">
        <v>319</v>
      </c>
      <c r="P30" s="1" t="s">
        <v>61</v>
      </c>
      <c r="Q30" s="1" t="s">
        <v>62</v>
      </c>
      <c r="R30" s="1" t="s">
        <v>62</v>
      </c>
      <c r="AV30" s="1" t="s">
        <v>51</v>
      </c>
      <c r="AW30" s="1" t="s">
        <v>320</v>
      </c>
      <c r="AX30" s="1" t="s">
        <v>51</v>
      </c>
      <c r="AY30" s="1" t="s">
        <v>51</v>
      </c>
      <c r="AZ30" s="1" t="s">
        <v>51</v>
      </c>
    </row>
    <row r="31" spans="1:52" ht="30" customHeight="1" x14ac:dyDescent="0.3">
      <c r="A31" s="19" t="s">
        <v>321</v>
      </c>
      <c r="B31" s="19" t="s">
        <v>322</v>
      </c>
      <c r="C31" s="19" t="s">
        <v>221</v>
      </c>
      <c r="D31" s="20">
        <v>1</v>
      </c>
      <c r="E31" s="22">
        <f>일위대가목록!E34</f>
        <v>6285</v>
      </c>
      <c r="F31" s="25">
        <f t="shared" si="6"/>
        <v>6285</v>
      </c>
      <c r="G31" s="22">
        <f>일위대가목록!F34</f>
        <v>98995</v>
      </c>
      <c r="H31" s="25">
        <f t="shared" si="7"/>
        <v>98995</v>
      </c>
      <c r="I31" s="22">
        <f>일위대가목록!G34</f>
        <v>0</v>
      </c>
      <c r="J31" s="25">
        <f t="shared" si="8"/>
        <v>0</v>
      </c>
      <c r="K31" s="22">
        <f t="shared" si="9"/>
        <v>105280</v>
      </c>
      <c r="L31" s="25">
        <f t="shared" si="10"/>
        <v>105280</v>
      </c>
      <c r="M31" s="19" t="s">
        <v>323</v>
      </c>
      <c r="N31" s="1" t="s">
        <v>80</v>
      </c>
      <c r="O31" s="1" t="s">
        <v>324</v>
      </c>
      <c r="P31" s="1" t="s">
        <v>61</v>
      </c>
      <c r="Q31" s="1" t="s">
        <v>62</v>
      </c>
      <c r="R31" s="1" t="s">
        <v>62</v>
      </c>
      <c r="AV31" s="1" t="s">
        <v>51</v>
      </c>
      <c r="AW31" s="1" t="s">
        <v>325</v>
      </c>
      <c r="AX31" s="1" t="s">
        <v>51</v>
      </c>
      <c r="AY31" s="1" t="s">
        <v>51</v>
      </c>
      <c r="AZ31" s="1" t="s">
        <v>51</v>
      </c>
    </row>
    <row r="32" spans="1:52" ht="30" customHeight="1" x14ac:dyDescent="0.3">
      <c r="A32" s="19" t="s">
        <v>326</v>
      </c>
      <c r="B32" s="19" t="s">
        <v>327</v>
      </c>
      <c r="C32" s="19" t="s">
        <v>328</v>
      </c>
      <c r="D32" s="20">
        <v>1.7929999999999999</v>
      </c>
      <c r="E32" s="22">
        <f>단가대비표!O54</f>
        <v>293</v>
      </c>
      <c r="F32" s="25">
        <f t="shared" si="6"/>
        <v>525.29999999999995</v>
      </c>
      <c r="G32" s="22">
        <f>단가대비표!P54</f>
        <v>5073</v>
      </c>
      <c r="H32" s="25">
        <f t="shared" si="7"/>
        <v>9095.7999999999993</v>
      </c>
      <c r="I32" s="22">
        <f>단가대비표!V54</f>
        <v>271</v>
      </c>
      <c r="J32" s="25">
        <f t="shared" si="8"/>
        <v>485.9</v>
      </c>
      <c r="K32" s="22">
        <f t="shared" si="9"/>
        <v>5637</v>
      </c>
      <c r="L32" s="25">
        <f t="shared" si="10"/>
        <v>10107</v>
      </c>
      <c r="M32" s="19" t="s">
        <v>329</v>
      </c>
      <c r="N32" s="1" t="s">
        <v>80</v>
      </c>
      <c r="O32" s="1" t="s">
        <v>330</v>
      </c>
      <c r="P32" s="1" t="s">
        <v>62</v>
      </c>
      <c r="Q32" s="1" t="s">
        <v>62</v>
      </c>
      <c r="R32" s="1" t="s">
        <v>61</v>
      </c>
      <c r="AV32" s="1" t="s">
        <v>51</v>
      </c>
      <c r="AW32" s="1" t="s">
        <v>331</v>
      </c>
      <c r="AX32" s="1" t="s">
        <v>51</v>
      </c>
      <c r="AY32" s="1" t="s">
        <v>51</v>
      </c>
      <c r="AZ32" s="1" t="s">
        <v>51</v>
      </c>
    </row>
    <row r="33" spans="1:52" ht="30" customHeight="1" x14ac:dyDescent="0.3">
      <c r="A33" s="19" t="s">
        <v>332</v>
      </c>
      <c r="B33" s="19" t="s">
        <v>333</v>
      </c>
      <c r="C33" s="19" t="s">
        <v>328</v>
      </c>
      <c r="D33" s="20">
        <v>1.397</v>
      </c>
      <c r="E33" s="22">
        <f>단가대비표!O56</f>
        <v>341</v>
      </c>
      <c r="F33" s="25">
        <f t="shared" si="6"/>
        <v>476.3</v>
      </c>
      <c r="G33" s="22">
        <f>단가대비표!P56</f>
        <v>6332</v>
      </c>
      <c r="H33" s="25">
        <f t="shared" si="7"/>
        <v>8845.7999999999993</v>
      </c>
      <c r="I33" s="22">
        <f>단가대비표!V56</f>
        <v>210</v>
      </c>
      <c r="J33" s="25">
        <f t="shared" si="8"/>
        <v>293.3</v>
      </c>
      <c r="K33" s="22">
        <f t="shared" si="9"/>
        <v>6883</v>
      </c>
      <c r="L33" s="25">
        <f t="shared" si="10"/>
        <v>9615.4</v>
      </c>
      <c r="M33" s="19" t="s">
        <v>329</v>
      </c>
      <c r="N33" s="1" t="s">
        <v>80</v>
      </c>
      <c r="O33" s="1" t="s">
        <v>334</v>
      </c>
      <c r="P33" s="1" t="s">
        <v>62</v>
      </c>
      <c r="Q33" s="1" t="s">
        <v>62</v>
      </c>
      <c r="R33" s="1" t="s">
        <v>61</v>
      </c>
      <c r="AV33" s="1" t="s">
        <v>51</v>
      </c>
      <c r="AW33" s="1" t="s">
        <v>335</v>
      </c>
      <c r="AX33" s="1" t="s">
        <v>51</v>
      </c>
      <c r="AY33" s="1" t="s">
        <v>51</v>
      </c>
      <c r="AZ33" s="1" t="s">
        <v>51</v>
      </c>
    </row>
    <row r="34" spans="1:52" ht="30" customHeight="1" x14ac:dyDescent="0.3">
      <c r="A34" s="19" t="s">
        <v>336</v>
      </c>
      <c r="B34" s="19" t="s">
        <v>337</v>
      </c>
      <c r="C34" s="19" t="s">
        <v>328</v>
      </c>
      <c r="D34" s="20">
        <v>0.39600000000000002</v>
      </c>
      <c r="E34" s="22">
        <f>단가대비표!O55</f>
        <v>163</v>
      </c>
      <c r="F34" s="25">
        <f t="shared" si="6"/>
        <v>64.5</v>
      </c>
      <c r="G34" s="22">
        <f>단가대비표!P55</f>
        <v>141</v>
      </c>
      <c r="H34" s="25">
        <f t="shared" si="7"/>
        <v>55.8</v>
      </c>
      <c r="I34" s="22">
        <f>단가대비표!V55</f>
        <v>152</v>
      </c>
      <c r="J34" s="25">
        <f t="shared" si="8"/>
        <v>60.1</v>
      </c>
      <c r="K34" s="22">
        <f t="shared" si="9"/>
        <v>456</v>
      </c>
      <c r="L34" s="25">
        <f t="shared" si="10"/>
        <v>180.4</v>
      </c>
      <c r="M34" s="19" t="s">
        <v>329</v>
      </c>
      <c r="N34" s="1" t="s">
        <v>80</v>
      </c>
      <c r="O34" s="1" t="s">
        <v>338</v>
      </c>
      <c r="P34" s="1" t="s">
        <v>62</v>
      </c>
      <c r="Q34" s="1" t="s">
        <v>62</v>
      </c>
      <c r="R34" s="1" t="s">
        <v>61</v>
      </c>
      <c r="AV34" s="1" t="s">
        <v>51</v>
      </c>
      <c r="AW34" s="1" t="s">
        <v>339</v>
      </c>
      <c r="AX34" s="1" t="s">
        <v>51</v>
      </c>
      <c r="AY34" s="1" t="s">
        <v>51</v>
      </c>
      <c r="AZ34" s="1" t="s">
        <v>51</v>
      </c>
    </row>
    <row r="35" spans="1:52" ht="30" customHeight="1" x14ac:dyDescent="0.3">
      <c r="A35" s="19" t="s">
        <v>340</v>
      </c>
      <c r="B35" s="19" t="s">
        <v>341</v>
      </c>
      <c r="C35" s="19" t="s">
        <v>342</v>
      </c>
      <c r="D35" s="20">
        <v>0.13200000000000001</v>
      </c>
      <c r="E35" s="22">
        <f>일위대가목록!E35</f>
        <v>40085</v>
      </c>
      <c r="F35" s="25">
        <f t="shared" si="6"/>
        <v>5291.2</v>
      </c>
      <c r="G35" s="22">
        <f>일위대가목록!F35</f>
        <v>189274</v>
      </c>
      <c r="H35" s="25">
        <f t="shared" si="7"/>
        <v>24984.1</v>
      </c>
      <c r="I35" s="22">
        <f>일위대가목록!G35</f>
        <v>0</v>
      </c>
      <c r="J35" s="25">
        <f t="shared" si="8"/>
        <v>0</v>
      </c>
      <c r="K35" s="22">
        <f t="shared" si="9"/>
        <v>229359</v>
      </c>
      <c r="L35" s="25">
        <f t="shared" si="10"/>
        <v>30275.3</v>
      </c>
      <c r="M35" s="19" t="s">
        <v>343</v>
      </c>
      <c r="N35" s="1" t="s">
        <v>80</v>
      </c>
      <c r="O35" s="1" t="s">
        <v>344</v>
      </c>
      <c r="P35" s="1" t="s">
        <v>61</v>
      </c>
      <c r="Q35" s="1" t="s">
        <v>62</v>
      </c>
      <c r="R35" s="1" t="s">
        <v>62</v>
      </c>
      <c r="AV35" s="1" t="s">
        <v>51</v>
      </c>
      <c r="AW35" s="1" t="s">
        <v>345</v>
      </c>
      <c r="AX35" s="1" t="s">
        <v>51</v>
      </c>
      <c r="AY35" s="1" t="s">
        <v>51</v>
      </c>
      <c r="AZ35" s="1" t="s">
        <v>51</v>
      </c>
    </row>
    <row r="36" spans="1:52" ht="30" customHeight="1" x14ac:dyDescent="0.3">
      <c r="A36" s="19" t="s">
        <v>346</v>
      </c>
      <c r="B36" s="19" t="s">
        <v>347</v>
      </c>
      <c r="C36" s="19" t="s">
        <v>348</v>
      </c>
      <c r="D36" s="20">
        <v>2.2799999999999998</v>
      </c>
      <c r="E36" s="22">
        <f>일위대가목록!E36</f>
        <v>20641</v>
      </c>
      <c r="F36" s="25">
        <f t="shared" si="6"/>
        <v>47061.4</v>
      </c>
      <c r="G36" s="22">
        <f>일위대가목록!F36</f>
        <v>49778</v>
      </c>
      <c r="H36" s="25">
        <f t="shared" si="7"/>
        <v>113493.8</v>
      </c>
      <c r="I36" s="22">
        <f>일위대가목록!G36</f>
        <v>20549</v>
      </c>
      <c r="J36" s="25">
        <f t="shared" si="8"/>
        <v>46851.7</v>
      </c>
      <c r="K36" s="22">
        <f t="shared" si="9"/>
        <v>90968</v>
      </c>
      <c r="L36" s="25">
        <f t="shared" si="10"/>
        <v>207406.9</v>
      </c>
      <c r="M36" s="19" t="s">
        <v>349</v>
      </c>
      <c r="N36" s="1" t="s">
        <v>80</v>
      </c>
      <c r="O36" s="1" t="s">
        <v>350</v>
      </c>
      <c r="P36" s="1" t="s">
        <v>61</v>
      </c>
      <c r="Q36" s="1" t="s">
        <v>62</v>
      </c>
      <c r="R36" s="1" t="s">
        <v>62</v>
      </c>
      <c r="AV36" s="1" t="s">
        <v>51</v>
      </c>
      <c r="AW36" s="1" t="s">
        <v>351</v>
      </c>
      <c r="AX36" s="1" t="s">
        <v>51</v>
      </c>
      <c r="AY36" s="1" t="s">
        <v>51</v>
      </c>
      <c r="AZ36" s="1" t="s">
        <v>51</v>
      </c>
    </row>
    <row r="37" spans="1:52" ht="30" customHeight="1" x14ac:dyDescent="0.3">
      <c r="A37" s="19" t="s">
        <v>352</v>
      </c>
      <c r="B37" s="19" t="s">
        <v>296</v>
      </c>
      <c r="C37" s="19" t="s">
        <v>297</v>
      </c>
      <c r="D37" s="20">
        <v>0.8</v>
      </c>
      <c r="E37" s="22">
        <f>단가대비표!O59</f>
        <v>0</v>
      </c>
      <c r="F37" s="25">
        <f t="shared" si="6"/>
        <v>0</v>
      </c>
      <c r="G37" s="22">
        <f>단가대비표!P59</f>
        <v>226122</v>
      </c>
      <c r="H37" s="25">
        <f t="shared" si="7"/>
        <v>180897.6</v>
      </c>
      <c r="I37" s="22">
        <f>단가대비표!V59</f>
        <v>0</v>
      </c>
      <c r="J37" s="25">
        <f t="shared" si="8"/>
        <v>0</v>
      </c>
      <c r="K37" s="22">
        <f t="shared" si="9"/>
        <v>226122</v>
      </c>
      <c r="L37" s="25">
        <f t="shared" si="10"/>
        <v>180897.6</v>
      </c>
      <c r="M37" s="19" t="s">
        <v>353</v>
      </c>
      <c r="N37" s="1" t="s">
        <v>80</v>
      </c>
      <c r="O37" s="1" t="s">
        <v>354</v>
      </c>
      <c r="P37" s="1" t="s">
        <v>62</v>
      </c>
      <c r="Q37" s="1" t="s">
        <v>62</v>
      </c>
      <c r="R37" s="1" t="s">
        <v>61</v>
      </c>
      <c r="V37">
        <v>1</v>
      </c>
      <c r="AV37" s="1" t="s">
        <v>51</v>
      </c>
      <c r="AW37" s="1" t="s">
        <v>355</v>
      </c>
      <c r="AX37" s="1" t="s">
        <v>51</v>
      </c>
      <c r="AY37" s="1" t="s">
        <v>51</v>
      </c>
      <c r="AZ37" s="1" t="s">
        <v>51</v>
      </c>
    </row>
    <row r="38" spans="1:52" ht="30" customHeight="1" x14ac:dyDescent="0.3">
      <c r="A38" s="19" t="s">
        <v>356</v>
      </c>
      <c r="B38" s="19" t="s">
        <v>296</v>
      </c>
      <c r="C38" s="19" t="s">
        <v>297</v>
      </c>
      <c r="D38" s="20">
        <v>0.53</v>
      </c>
      <c r="E38" s="22">
        <f>단가대비표!O60</f>
        <v>0</v>
      </c>
      <c r="F38" s="25">
        <f t="shared" si="6"/>
        <v>0</v>
      </c>
      <c r="G38" s="22">
        <f>단가대비표!P60</f>
        <v>281939</v>
      </c>
      <c r="H38" s="25">
        <f t="shared" si="7"/>
        <v>149427.6</v>
      </c>
      <c r="I38" s="22">
        <f>단가대비표!V60</f>
        <v>0</v>
      </c>
      <c r="J38" s="25">
        <f t="shared" si="8"/>
        <v>0</v>
      </c>
      <c r="K38" s="22">
        <f t="shared" si="9"/>
        <v>281939</v>
      </c>
      <c r="L38" s="25">
        <f t="shared" si="10"/>
        <v>149427.6</v>
      </c>
      <c r="M38" s="19" t="s">
        <v>353</v>
      </c>
      <c r="N38" s="1" t="s">
        <v>80</v>
      </c>
      <c r="O38" s="1" t="s">
        <v>357</v>
      </c>
      <c r="P38" s="1" t="s">
        <v>62</v>
      </c>
      <c r="Q38" s="1" t="s">
        <v>62</v>
      </c>
      <c r="R38" s="1" t="s">
        <v>61</v>
      </c>
      <c r="V38">
        <v>1</v>
      </c>
      <c r="AV38" s="1" t="s">
        <v>51</v>
      </c>
      <c r="AW38" s="1" t="s">
        <v>358</v>
      </c>
      <c r="AX38" s="1" t="s">
        <v>51</v>
      </c>
      <c r="AY38" s="1" t="s">
        <v>51</v>
      </c>
      <c r="AZ38" s="1" t="s">
        <v>51</v>
      </c>
    </row>
    <row r="39" spans="1:52" ht="30" customHeight="1" x14ac:dyDescent="0.3">
      <c r="A39" s="19" t="s">
        <v>359</v>
      </c>
      <c r="B39" s="19" t="s">
        <v>296</v>
      </c>
      <c r="C39" s="19" t="s">
        <v>297</v>
      </c>
      <c r="D39" s="20">
        <v>0.28000000000000003</v>
      </c>
      <c r="E39" s="22">
        <f>단가대비표!O57</f>
        <v>0</v>
      </c>
      <c r="F39" s="25">
        <f t="shared" si="6"/>
        <v>0</v>
      </c>
      <c r="G39" s="22">
        <f>단가대비표!P57</f>
        <v>215907</v>
      </c>
      <c r="H39" s="25">
        <f t="shared" si="7"/>
        <v>60453.9</v>
      </c>
      <c r="I39" s="22">
        <f>단가대비표!V57</f>
        <v>0</v>
      </c>
      <c r="J39" s="25">
        <f t="shared" si="8"/>
        <v>0</v>
      </c>
      <c r="K39" s="22">
        <f t="shared" si="9"/>
        <v>215907</v>
      </c>
      <c r="L39" s="25">
        <f t="shared" si="10"/>
        <v>60453.9</v>
      </c>
      <c r="M39" s="19" t="s">
        <v>353</v>
      </c>
      <c r="N39" s="1" t="s">
        <v>80</v>
      </c>
      <c r="O39" s="1" t="s">
        <v>360</v>
      </c>
      <c r="P39" s="1" t="s">
        <v>62</v>
      </c>
      <c r="Q39" s="1" t="s">
        <v>62</v>
      </c>
      <c r="R39" s="1" t="s">
        <v>61</v>
      </c>
      <c r="V39">
        <v>1</v>
      </c>
      <c r="AV39" s="1" t="s">
        <v>51</v>
      </c>
      <c r="AW39" s="1" t="s">
        <v>361</v>
      </c>
      <c r="AX39" s="1" t="s">
        <v>51</v>
      </c>
      <c r="AY39" s="1" t="s">
        <v>51</v>
      </c>
      <c r="AZ39" s="1" t="s">
        <v>51</v>
      </c>
    </row>
    <row r="40" spans="1:52" ht="30" customHeight="1" x14ac:dyDescent="0.3">
      <c r="A40" s="19" t="s">
        <v>362</v>
      </c>
      <c r="B40" s="19" t="s">
        <v>296</v>
      </c>
      <c r="C40" s="19" t="s">
        <v>297</v>
      </c>
      <c r="D40" s="20">
        <v>0.03</v>
      </c>
      <c r="E40" s="22">
        <f>단가대비표!O61</f>
        <v>0</v>
      </c>
      <c r="F40" s="25">
        <f t="shared" si="6"/>
        <v>0</v>
      </c>
      <c r="G40" s="22">
        <f>단가대비표!P61</f>
        <v>211653</v>
      </c>
      <c r="H40" s="25">
        <f t="shared" si="7"/>
        <v>6349.5</v>
      </c>
      <c r="I40" s="22">
        <f>단가대비표!V61</f>
        <v>0</v>
      </c>
      <c r="J40" s="25">
        <f t="shared" si="8"/>
        <v>0</v>
      </c>
      <c r="K40" s="22">
        <f t="shared" si="9"/>
        <v>211653</v>
      </c>
      <c r="L40" s="25">
        <f t="shared" si="10"/>
        <v>6349.5</v>
      </c>
      <c r="M40" s="19" t="s">
        <v>353</v>
      </c>
      <c r="N40" s="1" t="s">
        <v>80</v>
      </c>
      <c r="O40" s="1" t="s">
        <v>363</v>
      </c>
      <c r="P40" s="1" t="s">
        <v>62</v>
      </c>
      <c r="Q40" s="1" t="s">
        <v>62</v>
      </c>
      <c r="R40" s="1" t="s">
        <v>61</v>
      </c>
      <c r="V40">
        <v>1</v>
      </c>
      <c r="AV40" s="1" t="s">
        <v>51</v>
      </c>
      <c r="AW40" s="1" t="s">
        <v>364</v>
      </c>
      <c r="AX40" s="1" t="s">
        <v>51</v>
      </c>
      <c r="AY40" s="1" t="s">
        <v>51</v>
      </c>
      <c r="AZ40" s="1" t="s">
        <v>51</v>
      </c>
    </row>
    <row r="41" spans="1:52" ht="30" customHeight="1" x14ac:dyDescent="0.3">
      <c r="A41" s="19" t="s">
        <v>280</v>
      </c>
      <c r="B41" s="19" t="s">
        <v>281</v>
      </c>
      <c r="C41" s="19" t="s">
        <v>229</v>
      </c>
      <c r="D41" s="20">
        <v>1</v>
      </c>
      <c r="E41" s="22">
        <v>0</v>
      </c>
      <c r="F41" s="25">
        <f t="shared" si="6"/>
        <v>0</v>
      </c>
      <c r="G41" s="22">
        <f>TRUNC(SUMIF(V28:V41, RIGHTB(O41, 1), H28:H41)*U41, 2)</f>
        <v>11913.85</v>
      </c>
      <c r="H41" s="25">
        <f t="shared" si="7"/>
        <v>11913.8</v>
      </c>
      <c r="I41" s="22">
        <v>0</v>
      </c>
      <c r="J41" s="25">
        <f t="shared" si="8"/>
        <v>0</v>
      </c>
      <c r="K41" s="22">
        <f t="shared" si="9"/>
        <v>11913.8</v>
      </c>
      <c r="L41" s="25">
        <f t="shared" si="10"/>
        <v>11913.8</v>
      </c>
      <c r="M41" s="19" t="s">
        <v>51</v>
      </c>
      <c r="N41" s="1" t="s">
        <v>80</v>
      </c>
      <c r="O41" s="1" t="s">
        <v>234</v>
      </c>
      <c r="P41" s="1" t="s">
        <v>62</v>
      </c>
      <c r="Q41" s="1" t="s">
        <v>62</v>
      </c>
      <c r="R41" s="1" t="s">
        <v>62</v>
      </c>
      <c r="S41">
        <v>1</v>
      </c>
      <c r="T41">
        <v>1</v>
      </c>
      <c r="U41">
        <v>0.03</v>
      </c>
      <c r="AV41" s="1" t="s">
        <v>51</v>
      </c>
      <c r="AW41" s="1" t="s">
        <v>365</v>
      </c>
      <c r="AX41" s="1" t="s">
        <v>51</v>
      </c>
      <c r="AY41" s="1" t="s">
        <v>51</v>
      </c>
      <c r="AZ41" s="1" t="s">
        <v>51</v>
      </c>
    </row>
    <row r="42" spans="1:52" ht="30" customHeight="1" x14ac:dyDescent="0.3">
      <c r="A42" s="19" t="s">
        <v>283</v>
      </c>
      <c r="B42" s="19" t="s">
        <v>51</v>
      </c>
      <c r="C42" s="19" t="s">
        <v>51</v>
      </c>
      <c r="D42" s="20"/>
      <c r="E42" s="22"/>
      <c r="F42" s="25">
        <f>TRUNC(SUMIF(N28:N41, N27, F28:F41),0)</f>
        <v>977793</v>
      </c>
      <c r="G42" s="22"/>
      <c r="H42" s="25">
        <f>TRUNC(SUMIF(N28:N41, N27, H28:H41),0)</f>
        <v>701312</v>
      </c>
      <c r="I42" s="22"/>
      <c r="J42" s="25">
        <f>TRUNC(SUMIF(N28:N41, N27, J28:J41),0)</f>
        <v>47691</v>
      </c>
      <c r="K42" s="22"/>
      <c r="L42" s="25">
        <f>F42+H42+J42</f>
        <v>1726796</v>
      </c>
      <c r="M42" s="19" t="s">
        <v>51</v>
      </c>
      <c r="N42" s="1" t="s">
        <v>83</v>
      </c>
      <c r="O42" s="1" t="s">
        <v>83</v>
      </c>
      <c r="P42" s="1" t="s">
        <v>51</v>
      </c>
      <c r="Q42" s="1" t="s">
        <v>51</v>
      </c>
      <c r="R42" s="1" t="s">
        <v>51</v>
      </c>
      <c r="AV42" s="1" t="s">
        <v>51</v>
      </c>
      <c r="AW42" s="1" t="s">
        <v>51</v>
      </c>
      <c r="AX42" s="1" t="s">
        <v>51</v>
      </c>
      <c r="AY42" s="1" t="s">
        <v>51</v>
      </c>
      <c r="AZ42" s="1" t="s">
        <v>51</v>
      </c>
    </row>
    <row r="43" spans="1:52" ht="30" customHeight="1" x14ac:dyDescent="0.3">
      <c r="A43" s="20"/>
      <c r="B43" s="20"/>
      <c r="C43" s="20"/>
      <c r="D43" s="20"/>
      <c r="E43" s="22"/>
      <c r="F43" s="25"/>
      <c r="G43" s="22"/>
      <c r="H43" s="25"/>
      <c r="I43" s="22"/>
      <c r="J43" s="25"/>
      <c r="K43" s="22"/>
      <c r="L43" s="25"/>
      <c r="M43" s="20"/>
    </row>
    <row r="44" spans="1:52" ht="30" customHeight="1" x14ac:dyDescent="0.3">
      <c r="A44" s="16" t="s">
        <v>366</v>
      </c>
      <c r="B44" s="17"/>
      <c r="C44" s="17"/>
      <c r="D44" s="17"/>
      <c r="E44" s="21"/>
      <c r="F44" s="24"/>
      <c r="G44" s="21"/>
      <c r="H44" s="24"/>
      <c r="I44" s="21"/>
      <c r="J44" s="24"/>
      <c r="K44" s="21"/>
      <c r="L44" s="24"/>
      <c r="M44" s="18"/>
      <c r="N44" s="1" t="s">
        <v>91</v>
      </c>
    </row>
    <row r="45" spans="1:52" ht="30" customHeight="1" x14ac:dyDescent="0.3">
      <c r="A45" s="19" t="s">
        <v>64</v>
      </c>
      <c r="B45" s="19" t="s">
        <v>367</v>
      </c>
      <c r="C45" s="19" t="s">
        <v>66</v>
      </c>
      <c r="D45" s="20">
        <v>1</v>
      </c>
      <c r="E45" s="22">
        <f>단가대비표!O42</f>
        <v>700</v>
      </c>
      <c r="F45" s="25">
        <f t="shared" ref="F45:F50" si="11">TRUNC(E45*D45,1)</f>
        <v>700</v>
      </c>
      <c r="G45" s="22">
        <f>단가대비표!P42</f>
        <v>0</v>
      </c>
      <c r="H45" s="25">
        <f t="shared" ref="H45:H50" si="12">TRUNC(G45*D45,1)</f>
        <v>0</v>
      </c>
      <c r="I45" s="22">
        <f>단가대비표!V42</f>
        <v>0</v>
      </c>
      <c r="J45" s="25">
        <f t="shared" ref="J45:J50" si="13">TRUNC(I45*D45,1)</f>
        <v>0</v>
      </c>
      <c r="K45" s="22">
        <f t="shared" ref="K45:L50" si="14">TRUNC(E45+G45+I45,1)</f>
        <v>700</v>
      </c>
      <c r="L45" s="25">
        <f t="shared" si="14"/>
        <v>700</v>
      </c>
      <c r="M45" s="19" t="s">
        <v>51</v>
      </c>
      <c r="N45" s="1" t="s">
        <v>91</v>
      </c>
      <c r="O45" s="1" t="s">
        <v>368</v>
      </c>
      <c r="P45" s="1" t="s">
        <v>62</v>
      </c>
      <c r="Q45" s="1" t="s">
        <v>62</v>
      </c>
      <c r="R45" s="1" t="s">
        <v>61</v>
      </c>
      <c r="V45">
        <v>1</v>
      </c>
      <c r="W45">
        <v>2</v>
      </c>
      <c r="AV45" s="1" t="s">
        <v>51</v>
      </c>
      <c r="AW45" s="1" t="s">
        <v>369</v>
      </c>
      <c r="AX45" s="1" t="s">
        <v>51</v>
      </c>
      <c r="AY45" s="1" t="s">
        <v>51</v>
      </c>
      <c r="AZ45" s="1" t="s">
        <v>51</v>
      </c>
    </row>
    <row r="46" spans="1:52" ht="30" customHeight="1" x14ac:dyDescent="0.3">
      <c r="A46" s="19" t="s">
        <v>64</v>
      </c>
      <c r="B46" s="19" t="s">
        <v>367</v>
      </c>
      <c r="C46" s="19" t="s">
        <v>66</v>
      </c>
      <c r="D46" s="20">
        <v>0.1</v>
      </c>
      <c r="E46" s="22">
        <f>단가대비표!O42</f>
        <v>700</v>
      </c>
      <c r="F46" s="25">
        <f t="shared" si="11"/>
        <v>70</v>
      </c>
      <c r="G46" s="22">
        <f>단가대비표!P42</f>
        <v>0</v>
      </c>
      <c r="H46" s="25">
        <f t="shared" si="12"/>
        <v>0</v>
      </c>
      <c r="I46" s="22">
        <f>단가대비표!V42</f>
        <v>0</v>
      </c>
      <c r="J46" s="25">
        <f t="shared" si="13"/>
        <v>0</v>
      </c>
      <c r="K46" s="22">
        <f t="shared" si="14"/>
        <v>700</v>
      </c>
      <c r="L46" s="25">
        <f t="shared" si="14"/>
        <v>70</v>
      </c>
      <c r="M46" s="19" t="s">
        <v>51</v>
      </c>
      <c r="N46" s="1" t="s">
        <v>91</v>
      </c>
      <c r="O46" s="1" t="s">
        <v>368</v>
      </c>
      <c r="P46" s="1" t="s">
        <v>62</v>
      </c>
      <c r="Q46" s="1" t="s">
        <v>62</v>
      </c>
      <c r="R46" s="1" t="s">
        <v>61</v>
      </c>
      <c r="AV46" s="1" t="s">
        <v>51</v>
      </c>
      <c r="AW46" s="1" t="s">
        <v>369</v>
      </c>
      <c r="AX46" s="1" t="s">
        <v>51</v>
      </c>
      <c r="AY46" s="1" t="s">
        <v>51</v>
      </c>
      <c r="AZ46" s="1" t="s">
        <v>51</v>
      </c>
    </row>
    <row r="47" spans="1:52" ht="30" customHeight="1" x14ac:dyDescent="0.3">
      <c r="A47" s="19" t="s">
        <v>288</v>
      </c>
      <c r="B47" s="19" t="s">
        <v>289</v>
      </c>
      <c r="C47" s="19" t="s">
        <v>229</v>
      </c>
      <c r="D47" s="20">
        <v>1</v>
      </c>
      <c r="E47" s="22">
        <f>TRUNC(SUMIF(V45:V50, RIGHTB(O47, 1), F45:F50)*U47, 2)</f>
        <v>140</v>
      </c>
      <c r="F47" s="25">
        <f t="shared" si="11"/>
        <v>140</v>
      </c>
      <c r="G47" s="22">
        <v>0</v>
      </c>
      <c r="H47" s="25">
        <f t="shared" si="12"/>
        <v>0</v>
      </c>
      <c r="I47" s="22">
        <v>0</v>
      </c>
      <c r="J47" s="25">
        <f t="shared" si="13"/>
        <v>0</v>
      </c>
      <c r="K47" s="22">
        <f t="shared" si="14"/>
        <v>140</v>
      </c>
      <c r="L47" s="25">
        <f t="shared" si="14"/>
        <v>140</v>
      </c>
      <c r="M47" s="19" t="s">
        <v>51</v>
      </c>
      <c r="N47" s="1" t="s">
        <v>91</v>
      </c>
      <c r="O47" s="1" t="s">
        <v>234</v>
      </c>
      <c r="P47" s="1" t="s">
        <v>62</v>
      </c>
      <c r="Q47" s="1" t="s">
        <v>62</v>
      </c>
      <c r="R47" s="1" t="s">
        <v>62</v>
      </c>
      <c r="S47">
        <v>0</v>
      </c>
      <c r="T47">
        <v>0</v>
      </c>
      <c r="U47">
        <v>0.2</v>
      </c>
      <c r="AV47" s="1" t="s">
        <v>51</v>
      </c>
      <c r="AW47" s="1" t="s">
        <v>370</v>
      </c>
      <c r="AX47" s="1" t="s">
        <v>51</v>
      </c>
      <c r="AY47" s="1" t="s">
        <v>51</v>
      </c>
      <c r="AZ47" s="1" t="s">
        <v>51</v>
      </c>
    </row>
    <row r="48" spans="1:52" ht="30" customHeight="1" x14ac:dyDescent="0.3">
      <c r="A48" s="19" t="s">
        <v>291</v>
      </c>
      <c r="B48" s="19" t="s">
        <v>292</v>
      </c>
      <c r="C48" s="19" t="s">
        <v>229</v>
      </c>
      <c r="D48" s="20">
        <v>1</v>
      </c>
      <c r="E48" s="22">
        <f>TRUNC(SUMIF(W45:W50, RIGHTB(O48, 1), F45:F50)*U48, 2)</f>
        <v>14</v>
      </c>
      <c r="F48" s="25">
        <f t="shared" si="11"/>
        <v>14</v>
      </c>
      <c r="G48" s="22">
        <v>0</v>
      </c>
      <c r="H48" s="25">
        <f t="shared" si="12"/>
        <v>0</v>
      </c>
      <c r="I48" s="22">
        <v>0</v>
      </c>
      <c r="J48" s="25">
        <f t="shared" si="13"/>
        <v>0</v>
      </c>
      <c r="K48" s="22">
        <f t="shared" si="14"/>
        <v>14</v>
      </c>
      <c r="L48" s="25">
        <f t="shared" si="14"/>
        <v>14</v>
      </c>
      <c r="M48" s="19" t="s">
        <v>51</v>
      </c>
      <c r="N48" s="1" t="s">
        <v>91</v>
      </c>
      <c r="O48" s="1" t="s">
        <v>293</v>
      </c>
      <c r="P48" s="1" t="s">
        <v>62</v>
      </c>
      <c r="Q48" s="1" t="s">
        <v>62</v>
      </c>
      <c r="R48" s="1" t="s">
        <v>62</v>
      </c>
      <c r="S48">
        <v>0</v>
      </c>
      <c r="T48">
        <v>0</v>
      </c>
      <c r="U48">
        <v>0.02</v>
      </c>
      <c r="AV48" s="1" t="s">
        <v>51</v>
      </c>
      <c r="AW48" s="1" t="s">
        <v>371</v>
      </c>
      <c r="AX48" s="1" t="s">
        <v>51</v>
      </c>
      <c r="AY48" s="1" t="s">
        <v>51</v>
      </c>
      <c r="AZ48" s="1" t="s">
        <v>51</v>
      </c>
    </row>
    <row r="49" spans="1:52" ht="30" customHeight="1" x14ac:dyDescent="0.3">
      <c r="A49" s="19" t="s">
        <v>295</v>
      </c>
      <c r="B49" s="19" t="s">
        <v>296</v>
      </c>
      <c r="C49" s="19" t="s">
        <v>297</v>
      </c>
      <c r="D49" s="20">
        <f>공량산출근거서!K23</f>
        <v>9.6000000000000002E-2</v>
      </c>
      <c r="E49" s="22">
        <f>단가대비표!O63</f>
        <v>0</v>
      </c>
      <c r="F49" s="25">
        <f t="shared" si="11"/>
        <v>0</v>
      </c>
      <c r="G49" s="22">
        <f>단가대비표!P63</f>
        <v>284880</v>
      </c>
      <c r="H49" s="25">
        <f t="shared" si="12"/>
        <v>27348.400000000001</v>
      </c>
      <c r="I49" s="22">
        <f>단가대비표!V63</f>
        <v>0</v>
      </c>
      <c r="J49" s="25">
        <f t="shared" si="13"/>
        <v>0</v>
      </c>
      <c r="K49" s="22">
        <f t="shared" si="14"/>
        <v>284880</v>
      </c>
      <c r="L49" s="25">
        <f t="shared" si="14"/>
        <v>27348.400000000001</v>
      </c>
      <c r="M49" s="19" t="s">
        <v>51</v>
      </c>
      <c r="N49" s="1" t="s">
        <v>91</v>
      </c>
      <c r="O49" s="1" t="s">
        <v>298</v>
      </c>
      <c r="P49" s="1" t="s">
        <v>62</v>
      </c>
      <c r="Q49" s="1" t="s">
        <v>62</v>
      </c>
      <c r="R49" s="1" t="s">
        <v>61</v>
      </c>
      <c r="X49">
        <v>3</v>
      </c>
      <c r="AV49" s="1" t="s">
        <v>51</v>
      </c>
      <c r="AW49" s="1" t="s">
        <v>372</v>
      </c>
      <c r="AX49" s="1" t="s">
        <v>51</v>
      </c>
      <c r="AY49" s="1" t="s">
        <v>51</v>
      </c>
      <c r="AZ49" s="1" t="s">
        <v>51</v>
      </c>
    </row>
    <row r="50" spans="1:52" ht="30" customHeight="1" x14ac:dyDescent="0.3">
      <c r="A50" s="19" t="s">
        <v>280</v>
      </c>
      <c r="B50" s="19" t="s">
        <v>281</v>
      </c>
      <c r="C50" s="19" t="s">
        <v>229</v>
      </c>
      <c r="D50" s="20">
        <v>1</v>
      </c>
      <c r="E50" s="22">
        <v>0</v>
      </c>
      <c r="F50" s="25">
        <f t="shared" si="11"/>
        <v>0</v>
      </c>
      <c r="G50" s="22">
        <f>TRUNC(SUMIF(X45:X50, RIGHTB(O50, 1), H45:H50)*U50, 2)</f>
        <v>820.45</v>
      </c>
      <c r="H50" s="25">
        <f t="shared" si="12"/>
        <v>820.4</v>
      </c>
      <c r="I50" s="22">
        <v>0</v>
      </c>
      <c r="J50" s="25">
        <f t="shared" si="13"/>
        <v>0</v>
      </c>
      <c r="K50" s="22">
        <f t="shared" si="14"/>
        <v>820.4</v>
      </c>
      <c r="L50" s="25">
        <f t="shared" si="14"/>
        <v>820.4</v>
      </c>
      <c r="M50" s="19" t="s">
        <v>51</v>
      </c>
      <c r="N50" s="1" t="s">
        <v>91</v>
      </c>
      <c r="O50" s="1" t="s">
        <v>300</v>
      </c>
      <c r="P50" s="1" t="s">
        <v>62</v>
      </c>
      <c r="Q50" s="1" t="s">
        <v>62</v>
      </c>
      <c r="R50" s="1" t="s">
        <v>62</v>
      </c>
      <c r="S50">
        <v>1</v>
      </c>
      <c r="T50">
        <v>1</v>
      </c>
      <c r="U50">
        <v>0.03</v>
      </c>
      <c r="AV50" s="1" t="s">
        <v>51</v>
      </c>
      <c r="AW50" s="1" t="s">
        <v>373</v>
      </c>
      <c r="AX50" s="1" t="s">
        <v>51</v>
      </c>
      <c r="AY50" s="1" t="s">
        <v>51</v>
      </c>
      <c r="AZ50" s="1" t="s">
        <v>51</v>
      </c>
    </row>
    <row r="51" spans="1:52" ht="30" customHeight="1" x14ac:dyDescent="0.3">
      <c r="A51" s="19" t="s">
        <v>283</v>
      </c>
      <c r="B51" s="19" t="s">
        <v>51</v>
      </c>
      <c r="C51" s="19" t="s">
        <v>51</v>
      </c>
      <c r="D51" s="20"/>
      <c r="E51" s="22"/>
      <c r="F51" s="25">
        <f>TRUNC(SUMIF(N45:N50, N44, F45:F50),0)</f>
        <v>924</v>
      </c>
      <c r="G51" s="22"/>
      <c r="H51" s="25">
        <f>TRUNC(SUMIF(N45:N50, N44, H45:H50),0)</f>
        <v>28168</v>
      </c>
      <c r="I51" s="22"/>
      <c r="J51" s="25">
        <f>TRUNC(SUMIF(N45:N50, N44, J45:J50),0)</f>
        <v>0</v>
      </c>
      <c r="K51" s="22"/>
      <c r="L51" s="25">
        <f>F51+H51+J51</f>
        <v>29092</v>
      </c>
      <c r="M51" s="19" t="s">
        <v>51</v>
      </c>
      <c r="N51" s="1" t="s">
        <v>83</v>
      </c>
      <c r="O51" s="1" t="s">
        <v>83</v>
      </c>
      <c r="P51" s="1" t="s">
        <v>51</v>
      </c>
      <c r="Q51" s="1" t="s">
        <v>51</v>
      </c>
      <c r="R51" s="1" t="s">
        <v>51</v>
      </c>
      <c r="AV51" s="1" t="s">
        <v>51</v>
      </c>
      <c r="AW51" s="1" t="s">
        <v>51</v>
      </c>
      <c r="AX51" s="1" t="s">
        <v>51</v>
      </c>
      <c r="AY51" s="1" t="s">
        <v>51</v>
      </c>
      <c r="AZ51" s="1" t="s">
        <v>51</v>
      </c>
    </row>
    <row r="52" spans="1:52" ht="30" customHeight="1" x14ac:dyDescent="0.3">
      <c r="A52" s="20"/>
      <c r="B52" s="20"/>
      <c r="C52" s="20"/>
      <c r="D52" s="20"/>
      <c r="E52" s="22"/>
      <c r="F52" s="25"/>
      <c r="G52" s="22"/>
      <c r="H52" s="25"/>
      <c r="I52" s="22"/>
      <c r="J52" s="25"/>
      <c r="K52" s="22"/>
      <c r="L52" s="25"/>
      <c r="M52" s="20"/>
    </row>
    <row r="53" spans="1:52" ht="30" customHeight="1" x14ac:dyDescent="0.3">
      <c r="A53" s="16" t="s">
        <v>374</v>
      </c>
      <c r="B53" s="17"/>
      <c r="C53" s="17"/>
      <c r="D53" s="17"/>
      <c r="E53" s="21"/>
      <c r="F53" s="24"/>
      <c r="G53" s="21"/>
      <c r="H53" s="24"/>
      <c r="I53" s="21"/>
      <c r="J53" s="24"/>
      <c r="K53" s="21"/>
      <c r="L53" s="24"/>
      <c r="M53" s="18"/>
      <c r="N53" s="1" t="s">
        <v>99</v>
      </c>
    </row>
    <row r="54" spans="1:52" ht="30" customHeight="1" x14ac:dyDescent="0.3">
      <c r="A54" s="19" t="s">
        <v>64</v>
      </c>
      <c r="B54" s="19" t="s">
        <v>375</v>
      </c>
      <c r="C54" s="19" t="s">
        <v>66</v>
      </c>
      <c r="D54" s="20">
        <v>1</v>
      </c>
      <c r="E54" s="22">
        <f>단가대비표!O43</f>
        <v>1246</v>
      </c>
      <c r="F54" s="25">
        <f t="shared" ref="F54:F59" si="15">TRUNC(E54*D54,1)</f>
        <v>1246</v>
      </c>
      <c r="G54" s="22">
        <f>단가대비표!P43</f>
        <v>0</v>
      </c>
      <c r="H54" s="25">
        <f t="shared" ref="H54:H59" si="16">TRUNC(G54*D54,1)</f>
        <v>0</v>
      </c>
      <c r="I54" s="22">
        <f>단가대비표!V43</f>
        <v>0</v>
      </c>
      <c r="J54" s="25">
        <f t="shared" ref="J54:J59" si="17">TRUNC(I54*D54,1)</f>
        <v>0</v>
      </c>
      <c r="K54" s="22">
        <f t="shared" ref="K54:L59" si="18">TRUNC(E54+G54+I54,1)</f>
        <v>1246</v>
      </c>
      <c r="L54" s="25">
        <f t="shared" si="18"/>
        <v>1246</v>
      </c>
      <c r="M54" s="19" t="s">
        <v>51</v>
      </c>
      <c r="N54" s="1" t="s">
        <v>99</v>
      </c>
      <c r="O54" s="1" t="s">
        <v>376</v>
      </c>
      <c r="P54" s="1" t="s">
        <v>62</v>
      </c>
      <c r="Q54" s="1" t="s">
        <v>62</v>
      </c>
      <c r="R54" s="1" t="s">
        <v>61</v>
      </c>
      <c r="V54">
        <v>1</v>
      </c>
      <c r="W54">
        <v>2</v>
      </c>
      <c r="AV54" s="1" t="s">
        <v>51</v>
      </c>
      <c r="AW54" s="1" t="s">
        <v>377</v>
      </c>
      <c r="AX54" s="1" t="s">
        <v>51</v>
      </c>
      <c r="AY54" s="1" t="s">
        <v>51</v>
      </c>
      <c r="AZ54" s="1" t="s">
        <v>51</v>
      </c>
    </row>
    <row r="55" spans="1:52" ht="30" customHeight="1" x14ac:dyDescent="0.3">
      <c r="A55" s="19" t="s">
        <v>64</v>
      </c>
      <c r="B55" s="19" t="s">
        <v>375</v>
      </c>
      <c r="C55" s="19" t="s">
        <v>66</v>
      </c>
      <c r="D55" s="20">
        <v>0.1</v>
      </c>
      <c r="E55" s="22">
        <f>단가대비표!O43</f>
        <v>1246</v>
      </c>
      <c r="F55" s="25">
        <f t="shared" si="15"/>
        <v>124.6</v>
      </c>
      <c r="G55" s="22">
        <f>단가대비표!P43</f>
        <v>0</v>
      </c>
      <c r="H55" s="25">
        <f t="shared" si="16"/>
        <v>0</v>
      </c>
      <c r="I55" s="22">
        <f>단가대비표!V43</f>
        <v>0</v>
      </c>
      <c r="J55" s="25">
        <f t="shared" si="17"/>
        <v>0</v>
      </c>
      <c r="K55" s="22">
        <f t="shared" si="18"/>
        <v>1246</v>
      </c>
      <c r="L55" s="25">
        <f t="shared" si="18"/>
        <v>124.6</v>
      </c>
      <c r="M55" s="19" t="s">
        <v>51</v>
      </c>
      <c r="N55" s="1" t="s">
        <v>99</v>
      </c>
      <c r="O55" s="1" t="s">
        <v>376</v>
      </c>
      <c r="P55" s="1" t="s">
        <v>62</v>
      </c>
      <c r="Q55" s="1" t="s">
        <v>62</v>
      </c>
      <c r="R55" s="1" t="s">
        <v>61</v>
      </c>
      <c r="AV55" s="1" t="s">
        <v>51</v>
      </c>
      <c r="AW55" s="1" t="s">
        <v>377</v>
      </c>
      <c r="AX55" s="1" t="s">
        <v>51</v>
      </c>
      <c r="AY55" s="1" t="s">
        <v>51</v>
      </c>
      <c r="AZ55" s="1" t="s">
        <v>51</v>
      </c>
    </row>
    <row r="56" spans="1:52" ht="30" customHeight="1" x14ac:dyDescent="0.3">
      <c r="A56" s="19" t="s">
        <v>288</v>
      </c>
      <c r="B56" s="19" t="s">
        <v>289</v>
      </c>
      <c r="C56" s="19" t="s">
        <v>229</v>
      </c>
      <c r="D56" s="20">
        <v>1</v>
      </c>
      <c r="E56" s="22">
        <f>TRUNC(SUMIF(V54:V59, RIGHTB(O56, 1), F54:F59)*U56, 2)</f>
        <v>249.2</v>
      </c>
      <c r="F56" s="25">
        <f t="shared" si="15"/>
        <v>249.2</v>
      </c>
      <c r="G56" s="22">
        <v>0</v>
      </c>
      <c r="H56" s="25">
        <f t="shared" si="16"/>
        <v>0</v>
      </c>
      <c r="I56" s="22">
        <v>0</v>
      </c>
      <c r="J56" s="25">
        <f t="shared" si="17"/>
        <v>0</v>
      </c>
      <c r="K56" s="22">
        <f t="shared" si="18"/>
        <v>249.2</v>
      </c>
      <c r="L56" s="25">
        <f t="shared" si="18"/>
        <v>249.2</v>
      </c>
      <c r="M56" s="19" t="s">
        <v>51</v>
      </c>
      <c r="N56" s="1" t="s">
        <v>99</v>
      </c>
      <c r="O56" s="1" t="s">
        <v>234</v>
      </c>
      <c r="P56" s="1" t="s">
        <v>62</v>
      </c>
      <c r="Q56" s="1" t="s">
        <v>62</v>
      </c>
      <c r="R56" s="1" t="s">
        <v>62</v>
      </c>
      <c r="S56">
        <v>0</v>
      </c>
      <c r="T56">
        <v>0</v>
      </c>
      <c r="U56">
        <v>0.2</v>
      </c>
      <c r="AV56" s="1" t="s">
        <v>51</v>
      </c>
      <c r="AW56" s="1" t="s">
        <v>378</v>
      </c>
      <c r="AX56" s="1" t="s">
        <v>51</v>
      </c>
      <c r="AY56" s="1" t="s">
        <v>51</v>
      </c>
      <c r="AZ56" s="1" t="s">
        <v>51</v>
      </c>
    </row>
    <row r="57" spans="1:52" ht="30" customHeight="1" x14ac:dyDescent="0.3">
      <c r="A57" s="19" t="s">
        <v>291</v>
      </c>
      <c r="B57" s="19" t="s">
        <v>292</v>
      </c>
      <c r="C57" s="19" t="s">
        <v>229</v>
      </c>
      <c r="D57" s="20">
        <v>1</v>
      </c>
      <c r="E57" s="22">
        <f>TRUNC(SUMIF(W54:W59, RIGHTB(O57, 1), F54:F59)*U57, 2)</f>
        <v>24.92</v>
      </c>
      <c r="F57" s="25">
        <f t="shared" si="15"/>
        <v>24.9</v>
      </c>
      <c r="G57" s="22">
        <v>0</v>
      </c>
      <c r="H57" s="25">
        <f t="shared" si="16"/>
        <v>0</v>
      </c>
      <c r="I57" s="22">
        <v>0</v>
      </c>
      <c r="J57" s="25">
        <f t="shared" si="17"/>
        <v>0</v>
      </c>
      <c r="K57" s="22">
        <f t="shared" si="18"/>
        <v>24.9</v>
      </c>
      <c r="L57" s="25">
        <f t="shared" si="18"/>
        <v>24.9</v>
      </c>
      <c r="M57" s="19" t="s">
        <v>51</v>
      </c>
      <c r="N57" s="1" t="s">
        <v>99</v>
      </c>
      <c r="O57" s="1" t="s">
        <v>293</v>
      </c>
      <c r="P57" s="1" t="s">
        <v>62</v>
      </c>
      <c r="Q57" s="1" t="s">
        <v>62</v>
      </c>
      <c r="R57" s="1" t="s">
        <v>62</v>
      </c>
      <c r="S57">
        <v>0</v>
      </c>
      <c r="T57">
        <v>0</v>
      </c>
      <c r="U57">
        <v>0.02</v>
      </c>
      <c r="AV57" s="1" t="s">
        <v>51</v>
      </c>
      <c r="AW57" s="1" t="s">
        <v>379</v>
      </c>
      <c r="AX57" s="1" t="s">
        <v>51</v>
      </c>
      <c r="AY57" s="1" t="s">
        <v>51</v>
      </c>
      <c r="AZ57" s="1" t="s">
        <v>51</v>
      </c>
    </row>
    <row r="58" spans="1:52" ht="30" customHeight="1" x14ac:dyDescent="0.3">
      <c r="A58" s="19" t="s">
        <v>295</v>
      </c>
      <c r="B58" s="19" t="s">
        <v>296</v>
      </c>
      <c r="C58" s="19" t="s">
        <v>297</v>
      </c>
      <c r="D58" s="20">
        <f>공량산출근거서!K27</f>
        <v>0.156</v>
      </c>
      <c r="E58" s="22">
        <f>단가대비표!O63</f>
        <v>0</v>
      </c>
      <c r="F58" s="25">
        <f t="shared" si="15"/>
        <v>0</v>
      </c>
      <c r="G58" s="22">
        <f>단가대비표!P63</f>
        <v>284880</v>
      </c>
      <c r="H58" s="25">
        <f t="shared" si="16"/>
        <v>44441.2</v>
      </c>
      <c r="I58" s="22">
        <f>단가대비표!V63</f>
        <v>0</v>
      </c>
      <c r="J58" s="25">
        <f t="shared" si="17"/>
        <v>0</v>
      </c>
      <c r="K58" s="22">
        <f t="shared" si="18"/>
        <v>284880</v>
      </c>
      <c r="L58" s="25">
        <f t="shared" si="18"/>
        <v>44441.2</v>
      </c>
      <c r="M58" s="19" t="s">
        <v>51</v>
      </c>
      <c r="N58" s="1" t="s">
        <v>99</v>
      </c>
      <c r="O58" s="1" t="s">
        <v>298</v>
      </c>
      <c r="P58" s="1" t="s">
        <v>62</v>
      </c>
      <c r="Q58" s="1" t="s">
        <v>62</v>
      </c>
      <c r="R58" s="1" t="s">
        <v>61</v>
      </c>
      <c r="X58">
        <v>3</v>
      </c>
      <c r="AV58" s="1" t="s">
        <v>51</v>
      </c>
      <c r="AW58" s="1" t="s">
        <v>380</v>
      </c>
      <c r="AX58" s="1" t="s">
        <v>51</v>
      </c>
      <c r="AY58" s="1" t="s">
        <v>51</v>
      </c>
      <c r="AZ58" s="1" t="s">
        <v>51</v>
      </c>
    </row>
    <row r="59" spans="1:52" ht="30" customHeight="1" x14ac:dyDescent="0.3">
      <c r="A59" s="19" t="s">
        <v>280</v>
      </c>
      <c r="B59" s="19" t="s">
        <v>381</v>
      </c>
      <c r="C59" s="19" t="s">
        <v>229</v>
      </c>
      <c r="D59" s="20">
        <v>1</v>
      </c>
      <c r="E59" s="22">
        <f>TRUNC(SUMIF(X54:X59, RIGHTB(O59, 1), H54:H59)*U59, 2)</f>
        <v>1333.23</v>
      </c>
      <c r="F59" s="25">
        <f t="shared" si="15"/>
        <v>1333.2</v>
      </c>
      <c r="G59" s="22">
        <v>0</v>
      </c>
      <c r="H59" s="25">
        <f t="shared" si="16"/>
        <v>0</v>
      </c>
      <c r="I59" s="22">
        <v>0</v>
      </c>
      <c r="J59" s="25">
        <f t="shared" si="17"/>
        <v>0</v>
      </c>
      <c r="K59" s="22">
        <f t="shared" si="18"/>
        <v>1333.2</v>
      </c>
      <c r="L59" s="25">
        <f t="shared" si="18"/>
        <v>1333.2</v>
      </c>
      <c r="M59" s="19" t="s">
        <v>51</v>
      </c>
      <c r="N59" s="1" t="s">
        <v>99</v>
      </c>
      <c r="O59" s="1" t="s">
        <v>300</v>
      </c>
      <c r="P59" s="1" t="s">
        <v>62</v>
      </c>
      <c r="Q59" s="1" t="s">
        <v>62</v>
      </c>
      <c r="R59" s="1" t="s">
        <v>62</v>
      </c>
      <c r="S59">
        <v>1</v>
      </c>
      <c r="T59">
        <v>0</v>
      </c>
      <c r="U59">
        <v>0.03</v>
      </c>
      <c r="AV59" s="1" t="s">
        <v>51</v>
      </c>
      <c r="AW59" s="1" t="s">
        <v>382</v>
      </c>
      <c r="AX59" s="1" t="s">
        <v>51</v>
      </c>
      <c r="AY59" s="1" t="s">
        <v>51</v>
      </c>
      <c r="AZ59" s="1" t="s">
        <v>51</v>
      </c>
    </row>
    <row r="60" spans="1:52" ht="30" customHeight="1" x14ac:dyDescent="0.3">
      <c r="A60" s="19" t="s">
        <v>283</v>
      </c>
      <c r="B60" s="19" t="s">
        <v>51</v>
      </c>
      <c r="C60" s="19" t="s">
        <v>51</v>
      </c>
      <c r="D60" s="20"/>
      <c r="E60" s="22"/>
      <c r="F60" s="25">
        <f>TRUNC(SUMIF(N54:N59, N53, F54:F59),0)</f>
        <v>2977</v>
      </c>
      <c r="G60" s="22"/>
      <c r="H60" s="25">
        <f>TRUNC(SUMIF(N54:N59, N53, H54:H59),0)</f>
        <v>44441</v>
      </c>
      <c r="I60" s="22"/>
      <c r="J60" s="25">
        <f>TRUNC(SUMIF(N54:N59, N53, J54:J59),0)</f>
        <v>0</v>
      </c>
      <c r="K60" s="22"/>
      <c r="L60" s="25">
        <f>F60+H60+J60</f>
        <v>47418</v>
      </c>
      <c r="M60" s="19" t="s">
        <v>51</v>
      </c>
      <c r="N60" s="1" t="s">
        <v>83</v>
      </c>
      <c r="O60" s="1" t="s">
        <v>83</v>
      </c>
      <c r="P60" s="1" t="s">
        <v>51</v>
      </c>
      <c r="Q60" s="1" t="s">
        <v>51</v>
      </c>
      <c r="R60" s="1" t="s">
        <v>51</v>
      </c>
      <c r="AV60" s="1" t="s">
        <v>51</v>
      </c>
      <c r="AW60" s="1" t="s">
        <v>51</v>
      </c>
      <c r="AX60" s="1" t="s">
        <v>51</v>
      </c>
      <c r="AY60" s="1" t="s">
        <v>51</v>
      </c>
      <c r="AZ60" s="1" t="s">
        <v>51</v>
      </c>
    </row>
    <row r="61" spans="1:52" ht="30" customHeight="1" x14ac:dyDescent="0.3">
      <c r="A61" s="20"/>
      <c r="B61" s="20"/>
      <c r="C61" s="20"/>
      <c r="D61" s="20"/>
      <c r="E61" s="22"/>
      <c r="F61" s="25"/>
      <c r="G61" s="22"/>
      <c r="H61" s="25"/>
      <c r="I61" s="22"/>
      <c r="J61" s="25"/>
      <c r="K61" s="22"/>
      <c r="L61" s="25"/>
      <c r="M61" s="20"/>
    </row>
    <row r="62" spans="1:52" ht="30" customHeight="1" x14ac:dyDescent="0.3">
      <c r="A62" s="16" t="s">
        <v>383</v>
      </c>
      <c r="B62" s="17"/>
      <c r="C62" s="17"/>
      <c r="D62" s="17"/>
      <c r="E62" s="21"/>
      <c r="F62" s="24"/>
      <c r="G62" s="21"/>
      <c r="H62" s="24"/>
      <c r="I62" s="21"/>
      <c r="J62" s="24"/>
      <c r="K62" s="21"/>
      <c r="L62" s="24"/>
      <c r="M62" s="18"/>
      <c r="N62" s="1" t="s">
        <v>104</v>
      </c>
    </row>
    <row r="63" spans="1:52" ht="30" customHeight="1" x14ac:dyDescent="0.3">
      <c r="A63" s="19" t="s">
        <v>101</v>
      </c>
      <c r="B63" s="19" t="s">
        <v>384</v>
      </c>
      <c r="C63" s="19" t="s">
        <v>72</v>
      </c>
      <c r="D63" s="20">
        <v>1</v>
      </c>
      <c r="E63" s="22">
        <f>단가대비표!O48</f>
        <v>544</v>
      </c>
      <c r="F63" s="25">
        <f t="shared" ref="F63:F68" si="19">TRUNC(E63*D63,1)</f>
        <v>544</v>
      </c>
      <c r="G63" s="22">
        <f>단가대비표!P48</f>
        <v>0</v>
      </c>
      <c r="H63" s="25">
        <f t="shared" ref="H63:H68" si="20">TRUNC(G63*D63,1)</f>
        <v>0</v>
      </c>
      <c r="I63" s="22">
        <f>단가대비표!V48</f>
        <v>0</v>
      </c>
      <c r="J63" s="25">
        <f t="shared" ref="J63:J68" si="21">TRUNC(I63*D63,1)</f>
        <v>0</v>
      </c>
      <c r="K63" s="22">
        <f t="shared" ref="K63:L68" si="22">TRUNC(E63+G63+I63,1)</f>
        <v>544</v>
      </c>
      <c r="L63" s="25">
        <f t="shared" si="22"/>
        <v>544</v>
      </c>
      <c r="M63" s="19" t="s">
        <v>51</v>
      </c>
      <c r="N63" s="1" t="s">
        <v>104</v>
      </c>
      <c r="O63" s="1" t="s">
        <v>385</v>
      </c>
      <c r="P63" s="1" t="s">
        <v>62</v>
      </c>
      <c r="Q63" s="1" t="s">
        <v>62</v>
      </c>
      <c r="R63" s="1" t="s">
        <v>61</v>
      </c>
      <c r="V63">
        <v>1</v>
      </c>
      <c r="W63">
        <v>2</v>
      </c>
      <c r="AV63" s="1" t="s">
        <v>51</v>
      </c>
      <c r="AW63" s="1" t="s">
        <v>386</v>
      </c>
      <c r="AX63" s="1" t="s">
        <v>51</v>
      </c>
      <c r="AY63" s="1" t="s">
        <v>51</v>
      </c>
      <c r="AZ63" s="1" t="s">
        <v>51</v>
      </c>
    </row>
    <row r="64" spans="1:52" ht="30" customHeight="1" x14ac:dyDescent="0.3">
      <c r="A64" s="19" t="s">
        <v>101</v>
      </c>
      <c r="B64" s="19" t="s">
        <v>384</v>
      </c>
      <c r="C64" s="19" t="s">
        <v>72</v>
      </c>
      <c r="D64" s="20">
        <v>0.1</v>
      </c>
      <c r="E64" s="22">
        <f>단가대비표!O48</f>
        <v>544</v>
      </c>
      <c r="F64" s="25">
        <f t="shared" si="19"/>
        <v>54.4</v>
      </c>
      <c r="G64" s="22">
        <f>단가대비표!P48</f>
        <v>0</v>
      </c>
      <c r="H64" s="25">
        <f t="shared" si="20"/>
        <v>0</v>
      </c>
      <c r="I64" s="22">
        <f>단가대비표!V48</f>
        <v>0</v>
      </c>
      <c r="J64" s="25">
        <f t="shared" si="21"/>
        <v>0</v>
      </c>
      <c r="K64" s="22">
        <f t="shared" si="22"/>
        <v>544</v>
      </c>
      <c r="L64" s="25">
        <f t="shared" si="22"/>
        <v>54.4</v>
      </c>
      <c r="M64" s="19" t="s">
        <v>51</v>
      </c>
      <c r="N64" s="1" t="s">
        <v>104</v>
      </c>
      <c r="O64" s="1" t="s">
        <v>385</v>
      </c>
      <c r="P64" s="1" t="s">
        <v>62</v>
      </c>
      <c r="Q64" s="1" t="s">
        <v>62</v>
      </c>
      <c r="R64" s="1" t="s">
        <v>61</v>
      </c>
      <c r="AV64" s="1" t="s">
        <v>51</v>
      </c>
      <c r="AW64" s="1" t="s">
        <v>386</v>
      </c>
      <c r="AX64" s="1" t="s">
        <v>51</v>
      </c>
      <c r="AY64" s="1" t="s">
        <v>51</v>
      </c>
      <c r="AZ64" s="1" t="s">
        <v>51</v>
      </c>
    </row>
    <row r="65" spans="1:52" ht="30" customHeight="1" x14ac:dyDescent="0.3">
      <c r="A65" s="19" t="s">
        <v>288</v>
      </c>
      <c r="B65" s="19" t="s">
        <v>289</v>
      </c>
      <c r="C65" s="19" t="s">
        <v>229</v>
      </c>
      <c r="D65" s="20">
        <v>1</v>
      </c>
      <c r="E65" s="22">
        <f>TRUNC(SUMIF(V63:V68, RIGHTB(O65, 1), F63:F68)*U65, 2)</f>
        <v>108.8</v>
      </c>
      <c r="F65" s="25">
        <f t="shared" si="19"/>
        <v>108.8</v>
      </c>
      <c r="G65" s="22">
        <v>0</v>
      </c>
      <c r="H65" s="25">
        <f t="shared" si="20"/>
        <v>0</v>
      </c>
      <c r="I65" s="22">
        <v>0</v>
      </c>
      <c r="J65" s="25">
        <f t="shared" si="21"/>
        <v>0</v>
      </c>
      <c r="K65" s="22">
        <f t="shared" si="22"/>
        <v>108.8</v>
      </c>
      <c r="L65" s="25">
        <f t="shared" si="22"/>
        <v>108.8</v>
      </c>
      <c r="M65" s="19" t="s">
        <v>51</v>
      </c>
      <c r="N65" s="1" t="s">
        <v>104</v>
      </c>
      <c r="O65" s="1" t="s">
        <v>234</v>
      </c>
      <c r="P65" s="1" t="s">
        <v>62</v>
      </c>
      <c r="Q65" s="1" t="s">
        <v>62</v>
      </c>
      <c r="R65" s="1" t="s">
        <v>62</v>
      </c>
      <c r="S65">
        <v>0</v>
      </c>
      <c r="T65">
        <v>0</v>
      </c>
      <c r="U65">
        <v>0.2</v>
      </c>
      <c r="AV65" s="1" t="s">
        <v>51</v>
      </c>
      <c r="AW65" s="1" t="s">
        <v>387</v>
      </c>
      <c r="AX65" s="1" t="s">
        <v>51</v>
      </c>
      <c r="AY65" s="1" t="s">
        <v>51</v>
      </c>
      <c r="AZ65" s="1" t="s">
        <v>51</v>
      </c>
    </row>
    <row r="66" spans="1:52" ht="30" customHeight="1" x14ac:dyDescent="0.3">
      <c r="A66" s="19" t="s">
        <v>291</v>
      </c>
      <c r="B66" s="19" t="s">
        <v>292</v>
      </c>
      <c r="C66" s="19" t="s">
        <v>229</v>
      </c>
      <c r="D66" s="20">
        <v>1</v>
      </c>
      <c r="E66" s="22">
        <f>TRUNC(SUMIF(W63:W68, RIGHTB(O66, 1), F63:F68)*U66, 2)</f>
        <v>10.88</v>
      </c>
      <c r="F66" s="25">
        <f t="shared" si="19"/>
        <v>10.8</v>
      </c>
      <c r="G66" s="22">
        <v>0</v>
      </c>
      <c r="H66" s="25">
        <f t="shared" si="20"/>
        <v>0</v>
      </c>
      <c r="I66" s="22">
        <v>0</v>
      </c>
      <c r="J66" s="25">
        <f t="shared" si="21"/>
        <v>0</v>
      </c>
      <c r="K66" s="22">
        <f t="shared" si="22"/>
        <v>10.8</v>
      </c>
      <c r="L66" s="25">
        <f t="shared" si="22"/>
        <v>10.8</v>
      </c>
      <c r="M66" s="19" t="s">
        <v>51</v>
      </c>
      <c r="N66" s="1" t="s">
        <v>104</v>
      </c>
      <c r="O66" s="1" t="s">
        <v>293</v>
      </c>
      <c r="P66" s="1" t="s">
        <v>62</v>
      </c>
      <c r="Q66" s="1" t="s">
        <v>62</v>
      </c>
      <c r="R66" s="1" t="s">
        <v>62</v>
      </c>
      <c r="S66">
        <v>0</v>
      </c>
      <c r="T66">
        <v>0</v>
      </c>
      <c r="U66">
        <v>0.02</v>
      </c>
      <c r="AV66" s="1" t="s">
        <v>51</v>
      </c>
      <c r="AW66" s="1" t="s">
        <v>388</v>
      </c>
      <c r="AX66" s="1" t="s">
        <v>51</v>
      </c>
      <c r="AY66" s="1" t="s">
        <v>51</v>
      </c>
      <c r="AZ66" s="1" t="s">
        <v>51</v>
      </c>
    </row>
    <row r="67" spans="1:52" ht="30" customHeight="1" x14ac:dyDescent="0.3">
      <c r="A67" s="19" t="s">
        <v>295</v>
      </c>
      <c r="B67" s="19" t="s">
        <v>296</v>
      </c>
      <c r="C67" s="19" t="s">
        <v>297</v>
      </c>
      <c r="D67" s="20">
        <f>공량산출근거서!K30</f>
        <v>4.7500000000000001E-2</v>
      </c>
      <c r="E67" s="22">
        <f>단가대비표!O63</f>
        <v>0</v>
      </c>
      <c r="F67" s="25">
        <f t="shared" si="19"/>
        <v>0</v>
      </c>
      <c r="G67" s="22">
        <f>단가대비표!P63</f>
        <v>284880</v>
      </c>
      <c r="H67" s="25">
        <f t="shared" si="20"/>
        <v>13531.8</v>
      </c>
      <c r="I67" s="22">
        <f>단가대비표!V63</f>
        <v>0</v>
      </c>
      <c r="J67" s="25">
        <f t="shared" si="21"/>
        <v>0</v>
      </c>
      <c r="K67" s="22">
        <f t="shared" si="22"/>
        <v>284880</v>
      </c>
      <c r="L67" s="25">
        <f t="shared" si="22"/>
        <v>13531.8</v>
      </c>
      <c r="M67" s="19" t="s">
        <v>51</v>
      </c>
      <c r="N67" s="1" t="s">
        <v>104</v>
      </c>
      <c r="O67" s="1" t="s">
        <v>298</v>
      </c>
      <c r="P67" s="1" t="s">
        <v>62</v>
      </c>
      <c r="Q67" s="1" t="s">
        <v>62</v>
      </c>
      <c r="R67" s="1" t="s">
        <v>61</v>
      </c>
      <c r="X67">
        <v>3</v>
      </c>
      <c r="AV67" s="1" t="s">
        <v>51</v>
      </c>
      <c r="AW67" s="1" t="s">
        <v>389</v>
      </c>
      <c r="AX67" s="1" t="s">
        <v>51</v>
      </c>
      <c r="AY67" s="1" t="s">
        <v>51</v>
      </c>
      <c r="AZ67" s="1" t="s">
        <v>51</v>
      </c>
    </row>
    <row r="68" spans="1:52" ht="30" customHeight="1" x14ac:dyDescent="0.3">
      <c r="A68" s="19" t="s">
        <v>280</v>
      </c>
      <c r="B68" s="19" t="s">
        <v>281</v>
      </c>
      <c r="C68" s="19" t="s">
        <v>229</v>
      </c>
      <c r="D68" s="20">
        <v>1</v>
      </c>
      <c r="E68" s="22">
        <v>0</v>
      </c>
      <c r="F68" s="25">
        <f t="shared" si="19"/>
        <v>0</v>
      </c>
      <c r="G68" s="22">
        <f>TRUNC(SUMIF(X63:X68, RIGHTB(O68, 1), H63:H68)*U68, 2)</f>
        <v>405.95</v>
      </c>
      <c r="H68" s="25">
        <f t="shared" si="20"/>
        <v>405.9</v>
      </c>
      <c r="I68" s="22">
        <v>0</v>
      </c>
      <c r="J68" s="25">
        <f t="shared" si="21"/>
        <v>0</v>
      </c>
      <c r="K68" s="22">
        <f t="shared" si="22"/>
        <v>405.9</v>
      </c>
      <c r="L68" s="25">
        <f t="shared" si="22"/>
        <v>405.9</v>
      </c>
      <c r="M68" s="19" t="s">
        <v>51</v>
      </c>
      <c r="N68" s="1" t="s">
        <v>104</v>
      </c>
      <c r="O68" s="1" t="s">
        <v>300</v>
      </c>
      <c r="P68" s="1" t="s">
        <v>62</v>
      </c>
      <c r="Q68" s="1" t="s">
        <v>62</v>
      </c>
      <c r="R68" s="1" t="s">
        <v>62</v>
      </c>
      <c r="S68">
        <v>1</v>
      </c>
      <c r="T68">
        <v>1</v>
      </c>
      <c r="U68">
        <v>0.03</v>
      </c>
      <c r="AV68" s="1" t="s">
        <v>51</v>
      </c>
      <c r="AW68" s="1" t="s">
        <v>390</v>
      </c>
      <c r="AX68" s="1" t="s">
        <v>51</v>
      </c>
      <c r="AY68" s="1" t="s">
        <v>51</v>
      </c>
      <c r="AZ68" s="1" t="s">
        <v>51</v>
      </c>
    </row>
    <row r="69" spans="1:52" ht="30" customHeight="1" x14ac:dyDescent="0.3">
      <c r="A69" s="19" t="s">
        <v>283</v>
      </c>
      <c r="B69" s="19" t="s">
        <v>51</v>
      </c>
      <c r="C69" s="19" t="s">
        <v>51</v>
      </c>
      <c r="D69" s="20"/>
      <c r="E69" s="22"/>
      <c r="F69" s="25">
        <f>TRUNC(SUMIF(N63:N68, N62, F63:F68),0)</f>
        <v>718</v>
      </c>
      <c r="G69" s="22"/>
      <c r="H69" s="25">
        <f>TRUNC(SUMIF(N63:N68, N62, H63:H68),0)</f>
        <v>13937</v>
      </c>
      <c r="I69" s="22"/>
      <c r="J69" s="25">
        <f>TRUNC(SUMIF(N63:N68, N62, J63:J68),0)</f>
        <v>0</v>
      </c>
      <c r="K69" s="22"/>
      <c r="L69" s="25">
        <f>F69+H69+J69</f>
        <v>14655</v>
      </c>
      <c r="M69" s="19" t="s">
        <v>51</v>
      </c>
      <c r="N69" s="1" t="s">
        <v>83</v>
      </c>
      <c r="O69" s="1" t="s">
        <v>83</v>
      </c>
      <c r="P69" s="1" t="s">
        <v>51</v>
      </c>
      <c r="Q69" s="1" t="s">
        <v>51</v>
      </c>
      <c r="R69" s="1" t="s">
        <v>51</v>
      </c>
      <c r="AV69" s="1" t="s">
        <v>51</v>
      </c>
      <c r="AW69" s="1" t="s">
        <v>51</v>
      </c>
      <c r="AX69" s="1" t="s">
        <v>51</v>
      </c>
      <c r="AY69" s="1" t="s">
        <v>51</v>
      </c>
      <c r="AZ69" s="1" t="s">
        <v>51</v>
      </c>
    </row>
    <row r="70" spans="1:52" ht="30" customHeight="1" x14ac:dyDescent="0.3">
      <c r="A70" s="20"/>
      <c r="B70" s="20"/>
      <c r="C70" s="20"/>
      <c r="D70" s="20"/>
      <c r="E70" s="22"/>
      <c r="F70" s="25"/>
      <c r="G70" s="22"/>
      <c r="H70" s="25"/>
      <c r="I70" s="22"/>
      <c r="J70" s="25"/>
      <c r="K70" s="22"/>
      <c r="L70" s="25"/>
      <c r="M70" s="20"/>
    </row>
    <row r="71" spans="1:52" ht="30" customHeight="1" x14ac:dyDescent="0.3">
      <c r="A71" s="16" t="s">
        <v>391</v>
      </c>
      <c r="B71" s="17"/>
      <c r="C71" s="17"/>
      <c r="D71" s="17"/>
      <c r="E71" s="21"/>
      <c r="F71" s="24"/>
      <c r="G71" s="21"/>
      <c r="H71" s="24"/>
      <c r="I71" s="21"/>
      <c r="J71" s="24"/>
      <c r="K71" s="21"/>
      <c r="L71" s="24"/>
      <c r="M71" s="18"/>
      <c r="N71" s="1" t="s">
        <v>109</v>
      </c>
    </row>
    <row r="72" spans="1:52" ht="30" customHeight="1" x14ac:dyDescent="0.3">
      <c r="A72" s="19" t="s">
        <v>392</v>
      </c>
      <c r="B72" s="19" t="s">
        <v>393</v>
      </c>
      <c r="C72" s="19" t="s">
        <v>66</v>
      </c>
      <c r="D72" s="20">
        <v>1</v>
      </c>
      <c r="E72" s="22">
        <f>단가대비표!O18</f>
        <v>570</v>
      </c>
      <c r="F72" s="25">
        <f>TRUNC(E72*D72,1)</f>
        <v>570</v>
      </c>
      <c r="G72" s="22">
        <f>단가대비표!P18</f>
        <v>0</v>
      </c>
      <c r="H72" s="25">
        <f>TRUNC(G72*D72,1)</f>
        <v>0</v>
      </c>
      <c r="I72" s="22">
        <f>단가대비표!V18</f>
        <v>0</v>
      </c>
      <c r="J72" s="25">
        <f>TRUNC(I72*D72,1)</f>
        <v>0</v>
      </c>
      <c r="K72" s="22">
        <f t="shared" ref="K72:L75" si="23">TRUNC(E72+G72+I72,1)</f>
        <v>570</v>
      </c>
      <c r="L72" s="25">
        <f t="shared" si="23"/>
        <v>570</v>
      </c>
      <c r="M72" s="19" t="s">
        <v>51</v>
      </c>
      <c r="N72" s="1" t="s">
        <v>109</v>
      </c>
      <c r="O72" s="1" t="s">
        <v>394</v>
      </c>
      <c r="P72" s="1" t="s">
        <v>62</v>
      </c>
      <c r="Q72" s="1" t="s">
        <v>62</v>
      </c>
      <c r="R72" s="1" t="s">
        <v>61</v>
      </c>
      <c r="V72">
        <v>1</v>
      </c>
      <c r="AV72" s="1" t="s">
        <v>51</v>
      </c>
      <c r="AW72" s="1" t="s">
        <v>395</v>
      </c>
      <c r="AX72" s="1" t="s">
        <v>51</v>
      </c>
      <c r="AY72" s="1" t="s">
        <v>51</v>
      </c>
      <c r="AZ72" s="1" t="s">
        <v>51</v>
      </c>
    </row>
    <row r="73" spans="1:52" ht="30" customHeight="1" x14ac:dyDescent="0.3">
      <c r="A73" s="19" t="s">
        <v>392</v>
      </c>
      <c r="B73" s="19" t="s">
        <v>393</v>
      </c>
      <c r="C73" s="19" t="s">
        <v>66</v>
      </c>
      <c r="D73" s="20">
        <v>0.1</v>
      </c>
      <c r="E73" s="22">
        <f>단가대비표!O18</f>
        <v>570</v>
      </c>
      <c r="F73" s="25">
        <f>TRUNC(E73*D73,1)</f>
        <v>57</v>
      </c>
      <c r="G73" s="22">
        <f>단가대비표!P18</f>
        <v>0</v>
      </c>
      <c r="H73" s="25">
        <f>TRUNC(G73*D73,1)</f>
        <v>0</v>
      </c>
      <c r="I73" s="22">
        <f>단가대비표!V18</f>
        <v>0</v>
      </c>
      <c r="J73" s="25">
        <f>TRUNC(I73*D73,1)</f>
        <v>0</v>
      </c>
      <c r="K73" s="22">
        <f t="shared" si="23"/>
        <v>570</v>
      </c>
      <c r="L73" s="25">
        <f t="shared" si="23"/>
        <v>57</v>
      </c>
      <c r="M73" s="19" t="s">
        <v>51</v>
      </c>
      <c r="N73" s="1" t="s">
        <v>109</v>
      </c>
      <c r="O73" s="1" t="s">
        <v>394</v>
      </c>
      <c r="P73" s="1" t="s">
        <v>62</v>
      </c>
      <c r="Q73" s="1" t="s">
        <v>62</v>
      </c>
      <c r="R73" s="1" t="s">
        <v>61</v>
      </c>
      <c r="V73">
        <v>1</v>
      </c>
      <c r="AV73" s="1" t="s">
        <v>51</v>
      </c>
      <c r="AW73" s="1" t="s">
        <v>395</v>
      </c>
      <c r="AX73" s="1" t="s">
        <v>51</v>
      </c>
      <c r="AY73" s="1" t="s">
        <v>51</v>
      </c>
      <c r="AZ73" s="1" t="s">
        <v>51</v>
      </c>
    </row>
    <row r="74" spans="1:52" ht="30" customHeight="1" x14ac:dyDescent="0.3">
      <c r="A74" s="19" t="s">
        <v>291</v>
      </c>
      <c r="B74" s="19" t="s">
        <v>292</v>
      </c>
      <c r="C74" s="19" t="s">
        <v>229</v>
      </c>
      <c r="D74" s="20">
        <v>1</v>
      </c>
      <c r="E74" s="22">
        <f>TRUNC(SUMIF(V72:V75, RIGHTB(O74, 1), F72:F75)*U74, 2)</f>
        <v>12.54</v>
      </c>
      <c r="F74" s="25">
        <f>TRUNC(E74*D74,1)</f>
        <v>12.5</v>
      </c>
      <c r="G74" s="22">
        <v>0</v>
      </c>
      <c r="H74" s="25">
        <f>TRUNC(G74*D74,1)</f>
        <v>0</v>
      </c>
      <c r="I74" s="22">
        <v>0</v>
      </c>
      <c r="J74" s="25">
        <f>TRUNC(I74*D74,1)</f>
        <v>0</v>
      </c>
      <c r="K74" s="22">
        <f t="shared" si="23"/>
        <v>12.5</v>
      </c>
      <c r="L74" s="25">
        <f t="shared" si="23"/>
        <v>12.5</v>
      </c>
      <c r="M74" s="19" t="s">
        <v>51</v>
      </c>
      <c r="N74" s="1" t="s">
        <v>109</v>
      </c>
      <c r="O74" s="1" t="s">
        <v>234</v>
      </c>
      <c r="P74" s="1" t="s">
        <v>62</v>
      </c>
      <c r="Q74" s="1" t="s">
        <v>62</v>
      </c>
      <c r="R74" s="1" t="s">
        <v>62</v>
      </c>
      <c r="S74">
        <v>0</v>
      </c>
      <c r="T74">
        <v>0</v>
      </c>
      <c r="U74">
        <v>0.02</v>
      </c>
      <c r="AV74" s="1" t="s">
        <v>51</v>
      </c>
      <c r="AW74" s="1" t="s">
        <v>396</v>
      </c>
      <c r="AX74" s="1" t="s">
        <v>51</v>
      </c>
      <c r="AY74" s="1" t="s">
        <v>51</v>
      </c>
      <c r="AZ74" s="1" t="s">
        <v>51</v>
      </c>
    </row>
    <row r="75" spans="1:52" ht="30" customHeight="1" x14ac:dyDescent="0.3">
      <c r="A75" s="19" t="s">
        <v>397</v>
      </c>
      <c r="B75" s="19" t="s">
        <v>296</v>
      </c>
      <c r="C75" s="19" t="s">
        <v>297</v>
      </c>
      <c r="D75" s="20">
        <f>공량산출근거서!K34</f>
        <v>1.41E-2</v>
      </c>
      <c r="E75" s="22">
        <f>단가대비표!O65</f>
        <v>0</v>
      </c>
      <c r="F75" s="25">
        <f>TRUNC(E75*D75,1)</f>
        <v>0</v>
      </c>
      <c r="G75" s="22">
        <f>단가대비표!P65</f>
        <v>436224</v>
      </c>
      <c r="H75" s="25">
        <f>TRUNC(G75*D75,1)</f>
        <v>6150.7</v>
      </c>
      <c r="I75" s="22">
        <f>단가대비표!V65</f>
        <v>0</v>
      </c>
      <c r="J75" s="25">
        <f>TRUNC(I75*D75,1)</f>
        <v>0</v>
      </c>
      <c r="K75" s="22">
        <f t="shared" si="23"/>
        <v>436224</v>
      </c>
      <c r="L75" s="25">
        <f t="shared" si="23"/>
        <v>6150.7</v>
      </c>
      <c r="M75" s="19" t="s">
        <v>51</v>
      </c>
      <c r="N75" s="1" t="s">
        <v>109</v>
      </c>
      <c r="O75" s="1" t="s">
        <v>398</v>
      </c>
      <c r="P75" s="1" t="s">
        <v>62</v>
      </c>
      <c r="Q75" s="1" t="s">
        <v>62</v>
      </c>
      <c r="R75" s="1" t="s">
        <v>61</v>
      </c>
      <c r="AV75" s="1" t="s">
        <v>51</v>
      </c>
      <c r="AW75" s="1" t="s">
        <v>399</v>
      </c>
      <c r="AX75" s="1" t="s">
        <v>51</v>
      </c>
      <c r="AY75" s="1" t="s">
        <v>51</v>
      </c>
      <c r="AZ75" s="1" t="s">
        <v>51</v>
      </c>
    </row>
    <row r="76" spans="1:52" ht="30" customHeight="1" x14ac:dyDescent="0.3">
      <c r="A76" s="19" t="s">
        <v>283</v>
      </c>
      <c r="B76" s="19" t="s">
        <v>51</v>
      </c>
      <c r="C76" s="19" t="s">
        <v>51</v>
      </c>
      <c r="D76" s="20"/>
      <c r="E76" s="22"/>
      <c r="F76" s="25">
        <f>TRUNC(SUMIF(N72:N75, N71, F72:F75),0)</f>
        <v>639</v>
      </c>
      <c r="G76" s="22"/>
      <c r="H76" s="25">
        <f>TRUNC(SUMIF(N72:N75, N71, H72:H75),0)</f>
        <v>6150</v>
      </c>
      <c r="I76" s="22"/>
      <c r="J76" s="25">
        <f>TRUNC(SUMIF(N72:N75, N71, J72:J75),0)</f>
        <v>0</v>
      </c>
      <c r="K76" s="22"/>
      <c r="L76" s="25">
        <f>F76+H76+J76</f>
        <v>6789</v>
      </c>
      <c r="M76" s="19" t="s">
        <v>51</v>
      </c>
      <c r="N76" s="1" t="s">
        <v>83</v>
      </c>
      <c r="O76" s="1" t="s">
        <v>83</v>
      </c>
      <c r="P76" s="1" t="s">
        <v>51</v>
      </c>
      <c r="Q76" s="1" t="s">
        <v>51</v>
      </c>
      <c r="R76" s="1" t="s">
        <v>51</v>
      </c>
      <c r="AV76" s="1" t="s">
        <v>51</v>
      </c>
      <c r="AW76" s="1" t="s">
        <v>51</v>
      </c>
      <c r="AX76" s="1" t="s">
        <v>51</v>
      </c>
      <c r="AY76" s="1" t="s">
        <v>51</v>
      </c>
      <c r="AZ76" s="1" t="s">
        <v>51</v>
      </c>
    </row>
    <row r="77" spans="1:52" ht="30" customHeight="1" x14ac:dyDescent="0.3">
      <c r="A77" s="20"/>
      <c r="B77" s="20"/>
      <c r="C77" s="20"/>
      <c r="D77" s="20"/>
      <c r="E77" s="22"/>
      <c r="F77" s="25"/>
      <c r="G77" s="22"/>
      <c r="H77" s="25"/>
      <c r="I77" s="22"/>
      <c r="J77" s="25"/>
      <c r="K77" s="22"/>
      <c r="L77" s="25"/>
      <c r="M77" s="20"/>
    </row>
    <row r="78" spans="1:52" ht="30" customHeight="1" x14ac:dyDescent="0.3">
      <c r="A78" s="16" t="s">
        <v>400</v>
      </c>
      <c r="B78" s="17"/>
      <c r="C78" s="17"/>
      <c r="D78" s="17"/>
      <c r="E78" s="21"/>
      <c r="F78" s="24"/>
      <c r="G78" s="21"/>
      <c r="H78" s="24"/>
      <c r="I78" s="21"/>
      <c r="J78" s="24"/>
      <c r="K78" s="21"/>
      <c r="L78" s="24"/>
      <c r="M78" s="18"/>
      <c r="N78" s="1" t="s">
        <v>114</v>
      </c>
    </row>
    <row r="79" spans="1:52" ht="30" customHeight="1" x14ac:dyDescent="0.3">
      <c r="A79" s="19" t="s">
        <v>111</v>
      </c>
      <c r="B79" s="19" t="s">
        <v>401</v>
      </c>
      <c r="C79" s="19" t="s">
        <v>66</v>
      </c>
      <c r="D79" s="20">
        <v>1</v>
      </c>
      <c r="E79" s="22">
        <f>단가대비표!O21</f>
        <v>1200</v>
      </c>
      <c r="F79" s="25">
        <f t="shared" ref="F79:F84" si="24">TRUNC(E79*D79,1)</f>
        <v>1200</v>
      </c>
      <c r="G79" s="22">
        <f>단가대비표!P21</f>
        <v>0</v>
      </c>
      <c r="H79" s="25">
        <f t="shared" ref="H79:H84" si="25">TRUNC(G79*D79,1)</f>
        <v>0</v>
      </c>
      <c r="I79" s="22">
        <f>단가대비표!V21</f>
        <v>0</v>
      </c>
      <c r="J79" s="25">
        <f t="shared" ref="J79:J84" si="26">TRUNC(I79*D79,1)</f>
        <v>0</v>
      </c>
      <c r="K79" s="22">
        <f t="shared" ref="K79:L84" si="27">TRUNC(E79+G79+I79,1)</f>
        <v>1200</v>
      </c>
      <c r="L79" s="25">
        <f t="shared" si="27"/>
        <v>1200</v>
      </c>
      <c r="M79" s="19" t="s">
        <v>51</v>
      </c>
      <c r="N79" s="1" t="s">
        <v>114</v>
      </c>
      <c r="O79" s="1" t="s">
        <v>402</v>
      </c>
      <c r="P79" s="1" t="s">
        <v>62</v>
      </c>
      <c r="Q79" s="1" t="s">
        <v>62</v>
      </c>
      <c r="R79" s="1" t="s">
        <v>61</v>
      </c>
      <c r="V79">
        <v>1</v>
      </c>
      <c r="AV79" s="1" t="s">
        <v>51</v>
      </c>
      <c r="AW79" s="1" t="s">
        <v>403</v>
      </c>
      <c r="AX79" s="1" t="s">
        <v>51</v>
      </c>
      <c r="AY79" s="1" t="s">
        <v>51</v>
      </c>
      <c r="AZ79" s="1" t="s">
        <v>51</v>
      </c>
    </row>
    <row r="80" spans="1:52" ht="30" customHeight="1" x14ac:dyDescent="0.3">
      <c r="A80" s="19" t="s">
        <v>111</v>
      </c>
      <c r="B80" s="19" t="s">
        <v>401</v>
      </c>
      <c r="C80" s="19" t="s">
        <v>66</v>
      </c>
      <c r="D80" s="20">
        <v>0.1</v>
      </c>
      <c r="E80" s="22">
        <f>단가대비표!O21</f>
        <v>1200</v>
      </c>
      <c r="F80" s="25">
        <f t="shared" si="24"/>
        <v>120</v>
      </c>
      <c r="G80" s="22">
        <f>단가대비표!P21</f>
        <v>0</v>
      </c>
      <c r="H80" s="25">
        <f t="shared" si="25"/>
        <v>0</v>
      </c>
      <c r="I80" s="22">
        <f>단가대비표!V21</f>
        <v>0</v>
      </c>
      <c r="J80" s="25">
        <f t="shared" si="26"/>
        <v>0</v>
      </c>
      <c r="K80" s="22">
        <f t="shared" si="27"/>
        <v>1200</v>
      </c>
      <c r="L80" s="25">
        <f t="shared" si="27"/>
        <v>120</v>
      </c>
      <c r="M80" s="19" t="s">
        <v>51</v>
      </c>
      <c r="N80" s="1" t="s">
        <v>114</v>
      </c>
      <c r="O80" s="1" t="s">
        <v>402</v>
      </c>
      <c r="P80" s="1" t="s">
        <v>62</v>
      </c>
      <c r="Q80" s="1" t="s">
        <v>62</v>
      </c>
      <c r="R80" s="1" t="s">
        <v>61</v>
      </c>
      <c r="V80">
        <v>1</v>
      </c>
      <c r="AV80" s="1" t="s">
        <v>51</v>
      </c>
      <c r="AW80" s="1" t="s">
        <v>403</v>
      </c>
      <c r="AX80" s="1" t="s">
        <v>51</v>
      </c>
      <c r="AY80" s="1" t="s">
        <v>51</v>
      </c>
      <c r="AZ80" s="1" t="s">
        <v>51</v>
      </c>
    </row>
    <row r="81" spans="1:52" ht="30" customHeight="1" x14ac:dyDescent="0.3">
      <c r="A81" s="19" t="s">
        <v>291</v>
      </c>
      <c r="B81" s="19" t="s">
        <v>292</v>
      </c>
      <c r="C81" s="19" t="s">
        <v>229</v>
      </c>
      <c r="D81" s="20">
        <v>1</v>
      </c>
      <c r="E81" s="22">
        <f>TRUNC(SUMIF(V79:V84, RIGHTB(O81, 1), F79:F84)*U81, 2)</f>
        <v>26.4</v>
      </c>
      <c r="F81" s="25">
        <f t="shared" si="24"/>
        <v>26.4</v>
      </c>
      <c r="G81" s="22">
        <v>0</v>
      </c>
      <c r="H81" s="25">
        <f t="shared" si="25"/>
        <v>0</v>
      </c>
      <c r="I81" s="22">
        <v>0</v>
      </c>
      <c r="J81" s="25">
        <f t="shared" si="26"/>
        <v>0</v>
      </c>
      <c r="K81" s="22">
        <f t="shared" si="27"/>
        <v>26.4</v>
      </c>
      <c r="L81" s="25">
        <f t="shared" si="27"/>
        <v>26.4</v>
      </c>
      <c r="M81" s="19" t="s">
        <v>51</v>
      </c>
      <c r="N81" s="1" t="s">
        <v>114</v>
      </c>
      <c r="O81" s="1" t="s">
        <v>234</v>
      </c>
      <c r="P81" s="1" t="s">
        <v>62</v>
      </c>
      <c r="Q81" s="1" t="s">
        <v>62</v>
      </c>
      <c r="R81" s="1" t="s">
        <v>62</v>
      </c>
      <c r="S81">
        <v>0</v>
      </c>
      <c r="T81">
        <v>0</v>
      </c>
      <c r="U81">
        <v>0.02</v>
      </c>
      <c r="AV81" s="1" t="s">
        <v>51</v>
      </c>
      <c r="AW81" s="1" t="s">
        <v>404</v>
      </c>
      <c r="AX81" s="1" t="s">
        <v>51</v>
      </c>
      <c r="AY81" s="1" t="s">
        <v>51</v>
      </c>
      <c r="AZ81" s="1" t="s">
        <v>51</v>
      </c>
    </row>
    <row r="82" spans="1:52" ht="30" customHeight="1" x14ac:dyDescent="0.3">
      <c r="A82" s="19" t="s">
        <v>405</v>
      </c>
      <c r="B82" s="19" t="s">
        <v>296</v>
      </c>
      <c r="C82" s="19" t="s">
        <v>297</v>
      </c>
      <c r="D82" s="20">
        <f>공량산출근거서!K40</f>
        <v>5.7999999999999996E-3</v>
      </c>
      <c r="E82" s="22">
        <f>단가대비표!O58</f>
        <v>0</v>
      </c>
      <c r="F82" s="25">
        <f t="shared" si="24"/>
        <v>0</v>
      </c>
      <c r="G82" s="22">
        <f>단가대비표!P58</f>
        <v>172068</v>
      </c>
      <c r="H82" s="25">
        <f t="shared" si="25"/>
        <v>997.9</v>
      </c>
      <c r="I82" s="22">
        <f>단가대비표!V58</f>
        <v>0</v>
      </c>
      <c r="J82" s="25">
        <f t="shared" si="26"/>
        <v>0</v>
      </c>
      <c r="K82" s="22">
        <f t="shared" si="27"/>
        <v>172068</v>
      </c>
      <c r="L82" s="25">
        <f t="shared" si="27"/>
        <v>997.9</v>
      </c>
      <c r="M82" s="19" t="s">
        <v>51</v>
      </c>
      <c r="N82" s="1" t="s">
        <v>114</v>
      </c>
      <c r="O82" s="1" t="s">
        <v>406</v>
      </c>
      <c r="P82" s="1" t="s">
        <v>62</v>
      </c>
      <c r="Q82" s="1" t="s">
        <v>62</v>
      </c>
      <c r="R82" s="1" t="s">
        <v>61</v>
      </c>
      <c r="W82">
        <v>2</v>
      </c>
      <c r="AV82" s="1" t="s">
        <v>51</v>
      </c>
      <c r="AW82" s="1" t="s">
        <v>407</v>
      </c>
      <c r="AX82" s="1" t="s">
        <v>51</v>
      </c>
      <c r="AY82" s="1" t="s">
        <v>51</v>
      </c>
      <c r="AZ82" s="1" t="s">
        <v>51</v>
      </c>
    </row>
    <row r="83" spans="1:52" ht="30" customHeight="1" x14ac:dyDescent="0.3">
      <c r="A83" s="19" t="s">
        <v>408</v>
      </c>
      <c r="B83" s="19" t="s">
        <v>296</v>
      </c>
      <c r="C83" s="19" t="s">
        <v>297</v>
      </c>
      <c r="D83" s="20">
        <f>공량산출근거서!K41</f>
        <v>5.1999999999999998E-3</v>
      </c>
      <c r="E83" s="22">
        <f>단가대비표!O64</f>
        <v>0</v>
      </c>
      <c r="F83" s="25">
        <f t="shared" si="24"/>
        <v>0</v>
      </c>
      <c r="G83" s="22">
        <f>단가대비표!P64</f>
        <v>408942</v>
      </c>
      <c r="H83" s="25">
        <f t="shared" si="25"/>
        <v>2126.4</v>
      </c>
      <c r="I83" s="22">
        <f>단가대비표!V64</f>
        <v>0</v>
      </c>
      <c r="J83" s="25">
        <f t="shared" si="26"/>
        <v>0</v>
      </c>
      <c r="K83" s="22">
        <f t="shared" si="27"/>
        <v>408942</v>
      </c>
      <c r="L83" s="25">
        <f t="shared" si="27"/>
        <v>2126.4</v>
      </c>
      <c r="M83" s="19" t="s">
        <v>51</v>
      </c>
      <c r="N83" s="1" t="s">
        <v>114</v>
      </c>
      <c r="O83" s="1" t="s">
        <v>409</v>
      </c>
      <c r="P83" s="1" t="s">
        <v>62</v>
      </c>
      <c r="Q83" s="1" t="s">
        <v>62</v>
      </c>
      <c r="R83" s="1" t="s">
        <v>61</v>
      </c>
      <c r="W83">
        <v>2</v>
      </c>
      <c r="AV83" s="1" t="s">
        <v>51</v>
      </c>
      <c r="AW83" s="1" t="s">
        <v>410</v>
      </c>
      <c r="AX83" s="1" t="s">
        <v>51</v>
      </c>
      <c r="AY83" s="1" t="s">
        <v>51</v>
      </c>
      <c r="AZ83" s="1" t="s">
        <v>51</v>
      </c>
    </row>
    <row r="84" spans="1:52" ht="30" customHeight="1" x14ac:dyDescent="0.3">
      <c r="A84" s="19" t="s">
        <v>280</v>
      </c>
      <c r="B84" s="19" t="s">
        <v>381</v>
      </c>
      <c r="C84" s="19" t="s">
        <v>229</v>
      </c>
      <c r="D84" s="20">
        <v>1</v>
      </c>
      <c r="E84" s="22">
        <f>TRUNC(SUMIF(W79:W84, RIGHTB(O84, 1), H79:H84)*U84, 2)</f>
        <v>93.72</v>
      </c>
      <c r="F84" s="25">
        <f t="shared" si="24"/>
        <v>93.7</v>
      </c>
      <c r="G84" s="22">
        <v>0</v>
      </c>
      <c r="H84" s="25">
        <f t="shared" si="25"/>
        <v>0</v>
      </c>
      <c r="I84" s="22">
        <v>0</v>
      </c>
      <c r="J84" s="25">
        <f t="shared" si="26"/>
        <v>0</v>
      </c>
      <c r="K84" s="22">
        <f t="shared" si="27"/>
        <v>93.7</v>
      </c>
      <c r="L84" s="25">
        <f t="shared" si="27"/>
        <v>93.7</v>
      </c>
      <c r="M84" s="19" t="s">
        <v>51</v>
      </c>
      <c r="N84" s="1" t="s">
        <v>114</v>
      </c>
      <c r="O84" s="1" t="s">
        <v>293</v>
      </c>
      <c r="P84" s="1" t="s">
        <v>62</v>
      </c>
      <c r="Q84" s="1" t="s">
        <v>62</v>
      </c>
      <c r="R84" s="1" t="s">
        <v>62</v>
      </c>
      <c r="S84">
        <v>1</v>
      </c>
      <c r="T84">
        <v>0</v>
      </c>
      <c r="U84">
        <v>0.03</v>
      </c>
      <c r="AV84" s="1" t="s">
        <v>51</v>
      </c>
      <c r="AW84" s="1" t="s">
        <v>411</v>
      </c>
      <c r="AX84" s="1" t="s">
        <v>51</v>
      </c>
      <c r="AY84" s="1" t="s">
        <v>51</v>
      </c>
      <c r="AZ84" s="1" t="s">
        <v>51</v>
      </c>
    </row>
    <row r="85" spans="1:52" ht="30" customHeight="1" x14ac:dyDescent="0.3">
      <c r="A85" s="19" t="s">
        <v>283</v>
      </c>
      <c r="B85" s="19" t="s">
        <v>51</v>
      </c>
      <c r="C85" s="19" t="s">
        <v>51</v>
      </c>
      <c r="D85" s="20"/>
      <c r="E85" s="22"/>
      <c r="F85" s="25">
        <f>TRUNC(SUMIF(N79:N84, N78, F79:F84),0)</f>
        <v>1440</v>
      </c>
      <c r="G85" s="22"/>
      <c r="H85" s="25">
        <f>TRUNC(SUMIF(N79:N84, N78, H79:H84),0)</f>
        <v>3124</v>
      </c>
      <c r="I85" s="22"/>
      <c r="J85" s="25">
        <f>TRUNC(SUMIF(N79:N84, N78, J79:J84),0)</f>
        <v>0</v>
      </c>
      <c r="K85" s="22"/>
      <c r="L85" s="25">
        <f>F85+H85+J85</f>
        <v>4564</v>
      </c>
      <c r="M85" s="19" t="s">
        <v>51</v>
      </c>
      <c r="N85" s="1" t="s">
        <v>83</v>
      </c>
      <c r="O85" s="1" t="s">
        <v>83</v>
      </c>
      <c r="P85" s="1" t="s">
        <v>51</v>
      </c>
      <c r="Q85" s="1" t="s">
        <v>51</v>
      </c>
      <c r="R85" s="1" t="s">
        <v>51</v>
      </c>
      <c r="AV85" s="1" t="s">
        <v>51</v>
      </c>
      <c r="AW85" s="1" t="s">
        <v>51</v>
      </c>
      <c r="AX85" s="1" t="s">
        <v>51</v>
      </c>
      <c r="AY85" s="1" t="s">
        <v>51</v>
      </c>
      <c r="AZ85" s="1" t="s">
        <v>51</v>
      </c>
    </row>
    <row r="86" spans="1:52" ht="30" customHeight="1" x14ac:dyDescent="0.3">
      <c r="A86" s="20"/>
      <c r="B86" s="20"/>
      <c r="C86" s="20"/>
      <c r="D86" s="20"/>
      <c r="E86" s="22"/>
      <c r="F86" s="25"/>
      <c r="G86" s="22"/>
      <c r="H86" s="25"/>
      <c r="I86" s="22"/>
      <c r="J86" s="25"/>
      <c r="K86" s="22"/>
      <c r="L86" s="25"/>
      <c r="M86" s="20"/>
    </row>
    <row r="87" spans="1:52" ht="30" customHeight="1" x14ac:dyDescent="0.3">
      <c r="A87" s="16" t="s">
        <v>412</v>
      </c>
      <c r="B87" s="17"/>
      <c r="C87" s="17"/>
      <c r="D87" s="17"/>
      <c r="E87" s="21"/>
      <c r="F87" s="24"/>
      <c r="G87" s="21"/>
      <c r="H87" s="24"/>
      <c r="I87" s="21"/>
      <c r="J87" s="24"/>
      <c r="K87" s="21"/>
      <c r="L87" s="24"/>
      <c r="M87" s="18"/>
      <c r="N87" s="1" t="s">
        <v>119</v>
      </c>
    </row>
    <row r="88" spans="1:52" ht="30" customHeight="1" x14ac:dyDescent="0.3">
      <c r="A88" s="19" t="s">
        <v>413</v>
      </c>
      <c r="B88" s="19" t="s">
        <v>414</v>
      </c>
      <c r="C88" s="19" t="s">
        <v>66</v>
      </c>
      <c r="D88" s="20">
        <v>1</v>
      </c>
      <c r="E88" s="22">
        <f>단가대비표!O45</f>
        <v>160</v>
      </c>
      <c r="F88" s="25">
        <f t="shared" ref="F88:F93" si="28">TRUNC(E88*D88,1)</f>
        <v>160</v>
      </c>
      <c r="G88" s="22">
        <f>단가대비표!P45</f>
        <v>0</v>
      </c>
      <c r="H88" s="25">
        <f t="shared" ref="H88:H93" si="29">TRUNC(G88*D88,1)</f>
        <v>0</v>
      </c>
      <c r="I88" s="22">
        <f>단가대비표!V45</f>
        <v>0</v>
      </c>
      <c r="J88" s="25">
        <f t="shared" ref="J88:J93" si="30">TRUNC(I88*D88,1)</f>
        <v>0</v>
      </c>
      <c r="K88" s="22">
        <f t="shared" ref="K88:L93" si="31">TRUNC(E88+G88+I88,1)</f>
        <v>160</v>
      </c>
      <c r="L88" s="25">
        <f t="shared" si="31"/>
        <v>160</v>
      </c>
      <c r="M88" s="19" t="s">
        <v>51</v>
      </c>
      <c r="N88" s="1" t="s">
        <v>119</v>
      </c>
      <c r="O88" s="1" t="s">
        <v>415</v>
      </c>
      <c r="P88" s="1" t="s">
        <v>62</v>
      </c>
      <c r="Q88" s="1" t="s">
        <v>62</v>
      </c>
      <c r="R88" s="1" t="s">
        <v>61</v>
      </c>
      <c r="V88">
        <v>1</v>
      </c>
      <c r="W88">
        <v>2</v>
      </c>
      <c r="AV88" s="1" t="s">
        <v>51</v>
      </c>
      <c r="AW88" s="1" t="s">
        <v>416</v>
      </c>
      <c r="AX88" s="1" t="s">
        <v>51</v>
      </c>
      <c r="AY88" s="1" t="s">
        <v>51</v>
      </c>
      <c r="AZ88" s="1" t="s">
        <v>51</v>
      </c>
    </row>
    <row r="89" spans="1:52" ht="30" customHeight="1" x14ac:dyDescent="0.3">
      <c r="A89" s="19" t="s">
        <v>413</v>
      </c>
      <c r="B89" s="19" t="s">
        <v>414</v>
      </c>
      <c r="C89" s="19" t="s">
        <v>66</v>
      </c>
      <c r="D89" s="20">
        <v>0.1</v>
      </c>
      <c r="E89" s="22">
        <f>단가대비표!O45</f>
        <v>160</v>
      </c>
      <c r="F89" s="25">
        <f t="shared" si="28"/>
        <v>16</v>
      </c>
      <c r="G89" s="22">
        <f>단가대비표!P45</f>
        <v>0</v>
      </c>
      <c r="H89" s="25">
        <f t="shared" si="29"/>
        <v>0</v>
      </c>
      <c r="I89" s="22">
        <f>단가대비표!V45</f>
        <v>0</v>
      </c>
      <c r="J89" s="25">
        <f t="shared" si="30"/>
        <v>0</v>
      </c>
      <c r="K89" s="22">
        <f t="shared" si="31"/>
        <v>160</v>
      </c>
      <c r="L89" s="25">
        <f t="shared" si="31"/>
        <v>16</v>
      </c>
      <c r="M89" s="19" t="s">
        <v>51</v>
      </c>
      <c r="N89" s="1" t="s">
        <v>119</v>
      </c>
      <c r="O89" s="1" t="s">
        <v>415</v>
      </c>
      <c r="P89" s="1" t="s">
        <v>62</v>
      </c>
      <c r="Q89" s="1" t="s">
        <v>62</v>
      </c>
      <c r="R89" s="1" t="s">
        <v>61</v>
      </c>
      <c r="AV89" s="1" t="s">
        <v>51</v>
      </c>
      <c r="AW89" s="1" t="s">
        <v>416</v>
      </c>
      <c r="AX89" s="1" t="s">
        <v>51</v>
      </c>
      <c r="AY89" s="1" t="s">
        <v>51</v>
      </c>
      <c r="AZ89" s="1" t="s">
        <v>51</v>
      </c>
    </row>
    <row r="90" spans="1:52" ht="30" customHeight="1" x14ac:dyDescent="0.3">
      <c r="A90" s="19" t="s">
        <v>288</v>
      </c>
      <c r="B90" s="19" t="s">
        <v>417</v>
      </c>
      <c r="C90" s="19" t="s">
        <v>229</v>
      </c>
      <c r="D90" s="20">
        <v>1</v>
      </c>
      <c r="E90" s="22">
        <f>TRUNC(SUMIF(V88:V93, RIGHTB(O90, 1), F88:F93)*U90, 2)</f>
        <v>64</v>
      </c>
      <c r="F90" s="25">
        <f t="shared" si="28"/>
        <v>64</v>
      </c>
      <c r="G90" s="22">
        <v>0</v>
      </c>
      <c r="H90" s="25">
        <f t="shared" si="29"/>
        <v>0</v>
      </c>
      <c r="I90" s="22">
        <v>0</v>
      </c>
      <c r="J90" s="25">
        <f t="shared" si="30"/>
        <v>0</v>
      </c>
      <c r="K90" s="22">
        <f t="shared" si="31"/>
        <v>64</v>
      </c>
      <c r="L90" s="25">
        <f t="shared" si="31"/>
        <v>64</v>
      </c>
      <c r="M90" s="19" t="s">
        <v>51</v>
      </c>
      <c r="N90" s="1" t="s">
        <v>119</v>
      </c>
      <c r="O90" s="1" t="s">
        <v>234</v>
      </c>
      <c r="P90" s="1" t="s">
        <v>62</v>
      </c>
      <c r="Q90" s="1" t="s">
        <v>62</v>
      </c>
      <c r="R90" s="1" t="s">
        <v>62</v>
      </c>
      <c r="S90">
        <v>0</v>
      </c>
      <c r="T90">
        <v>0</v>
      </c>
      <c r="U90">
        <v>0.4</v>
      </c>
      <c r="AV90" s="1" t="s">
        <v>51</v>
      </c>
      <c r="AW90" s="1" t="s">
        <v>418</v>
      </c>
      <c r="AX90" s="1" t="s">
        <v>51</v>
      </c>
      <c r="AY90" s="1" t="s">
        <v>51</v>
      </c>
      <c r="AZ90" s="1" t="s">
        <v>51</v>
      </c>
    </row>
    <row r="91" spans="1:52" ht="30" customHeight="1" x14ac:dyDescent="0.3">
      <c r="A91" s="19" t="s">
        <v>291</v>
      </c>
      <c r="B91" s="19" t="s">
        <v>292</v>
      </c>
      <c r="C91" s="19" t="s">
        <v>229</v>
      </c>
      <c r="D91" s="20">
        <v>1</v>
      </c>
      <c r="E91" s="22">
        <f>TRUNC(SUMIF(W88:W93, RIGHTB(O91, 1), F88:F93)*U91, 2)</f>
        <v>3.2</v>
      </c>
      <c r="F91" s="25">
        <f t="shared" si="28"/>
        <v>3.2</v>
      </c>
      <c r="G91" s="22">
        <v>0</v>
      </c>
      <c r="H91" s="25">
        <f t="shared" si="29"/>
        <v>0</v>
      </c>
      <c r="I91" s="22">
        <v>0</v>
      </c>
      <c r="J91" s="25">
        <f t="shared" si="30"/>
        <v>0</v>
      </c>
      <c r="K91" s="22">
        <f t="shared" si="31"/>
        <v>3.2</v>
      </c>
      <c r="L91" s="25">
        <f t="shared" si="31"/>
        <v>3.2</v>
      </c>
      <c r="M91" s="19" t="s">
        <v>51</v>
      </c>
      <c r="N91" s="1" t="s">
        <v>119</v>
      </c>
      <c r="O91" s="1" t="s">
        <v>293</v>
      </c>
      <c r="P91" s="1" t="s">
        <v>62</v>
      </c>
      <c r="Q91" s="1" t="s">
        <v>62</v>
      </c>
      <c r="R91" s="1" t="s">
        <v>62</v>
      </c>
      <c r="S91">
        <v>0</v>
      </c>
      <c r="T91">
        <v>0</v>
      </c>
      <c r="U91">
        <v>0.02</v>
      </c>
      <c r="AV91" s="1" t="s">
        <v>51</v>
      </c>
      <c r="AW91" s="1" t="s">
        <v>419</v>
      </c>
      <c r="AX91" s="1" t="s">
        <v>51</v>
      </c>
      <c r="AY91" s="1" t="s">
        <v>51</v>
      </c>
      <c r="AZ91" s="1" t="s">
        <v>51</v>
      </c>
    </row>
    <row r="92" spans="1:52" ht="30" customHeight="1" x14ac:dyDescent="0.3">
      <c r="A92" s="19" t="s">
        <v>295</v>
      </c>
      <c r="B92" s="19" t="s">
        <v>296</v>
      </c>
      <c r="C92" s="19" t="s">
        <v>297</v>
      </c>
      <c r="D92" s="20">
        <f>공량산출근거서!K44</f>
        <v>3.5999999999999997E-2</v>
      </c>
      <c r="E92" s="22">
        <f>단가대비표!O63</f>
        <v>0</v>
      </c>
      <c r="F92" s="25">
        <f t="shared" si="28"/>
        <v>0</v>
      </c>
      <c r="G92" s="22">
        <f>단가대비표!P63</f>
        <v>284880</v>
      </c>
      <c r="H92" s="25">
        <f t="shared" si="29"/>
        <v>10255.6</v>
      </c>
      <c r="I92" s="22">
        <f>단가대비표!V63</f>
        <v>0</v>
      </c>
      <c r="J92" s="25">
        <f t="shared" si="30"/>
        <v>0</v>
      </c>
      <c r="K92" s="22">
        <f t="shared" si="31"/>
        <v>284880</v>
      </c>
      <c r="L92" s="25">
        <f t="shared" si="31"/>
        <v>10255.6</v>
      </c>
      <c r="M92" s="19" t="s">
        <v>51</v>
      </c>
      <c r="N92" s="1" t="s">
        <v>119</v>
      </c>
      <c r="O92" s="1" t="s">
        <v>298</v>
      </c>
      <c r="P92" s="1" t="s">
        <v>62</v>
      </c>
      <c r="Q92" s="1" t="s">
        <v>62</v>
      </c>
      <c r="R92" s="1" t="s">
        <v>61</v>
      </c>
      <c r="X92">
        <v>3</v>
      </c>
      <c r="AV92" s="1" t="s">
        <v>51</v>
      </c>
      <c r="AW92" s="1" t="s">
        <v>420</v>
      </c>
      <c r="AX92" s="1" t="s">
        <v>51</v>
      </c>
      <c r="AY92" s="1" t="s">
        <v>51</v>
      </c>
      <c r="AZ92" s="1" t="s">
        <v>51</v>
      </c>
    </row>
    <row r="93" spans="1:52" ht="30" customHeight="1" x14ac:dyDescent="0.3">
      <c r="A93" s="19" t="s">
        <v>280</v>
      </c>
      <c r="B93" s="19" t="s">
        <v>281</v>
      </c>
      <c r="C93" s="19" t="s">
        <v>229</v>
      </c>
      <c r="D93" s="20">
        <v>1</v>
      </c>
      <c r="E93" s="22">
        <v>0</v>
      </c>
      <c r="F93" s="25">
        <f t="shared" si="28"/>
        <v>0</v>
      </c>
      <c r="G93" s="22">
        <f>TRUNC(SUMIF(X88:X93, RIGHTB(O93, 1), H88:H93)*U93, 2)</f>
        <v>307.66000000000003</v>
      </c>
      <c r="H93" s="25">
        <f t="shared" si="29"/>
        <v>307.60000000000002</v>
      </c>
      <c r="I93" s="22">
        <v>0</v>
      </c>
      <c r="J93" s="25">
        <f t="shared" si="30"/>
        <v>0</v>
      </c>
      <c r="K93" s="22">
        <f t="shared" si="31"/>
        <v>307.60000000000002</v>
      </c>
      <c r="L93" s="25">
        <f t="shared" si="31"/>
        <v>307.60000000000002</v>
      </c>
      <c r="M93" s="19" t="s">
        <v>51</v>
      </c>
      <c r="N93" s="1" t="s">
        <v>119</v>
      </c>
      <c r="O93" s="1" t="s">
        <v>300</v>
      </c>
      <c r="P93" s="1" t="s">
        <v>62</v>
      </c>
      <c r="Q93" s="1" t="s">
        <v>62</v>
      </c>
      <c r="R93" s="1" t="s">
        <v>62</v>
      </c>
      <c r="S93">
        <v>1</v>
      </c>
      <c r="T93">
        <v>1</v>
      </c>
      <c r="U93">
        <v>0.03</v>
      </c>
      <c r="AV93" s="1" t="s">
        <v>51</v>
      </c>
      <c r="AW93" s="1" t="s">
        <v>421</v>
      </c>
      <c r="AX93" s="1" t="s">
        <v>51</v>
      </c>
      <c r="AY93" s="1" t="s">
        <v>51</v>
      </c>
      <c r="AZ93" s="1" t="s">
        <v>51</v>
      </c>
    </row>
    <row r="94" spans="1:52" ht="30" customHeight="1" x14ac:dyDescent="0.3">
      <c r="A94" s="19" t="s">
        <v>283</v>
      </c>
      <c r="B94" s="19" t="s">
        <v>51</v>
      </c>
      <c r="C94" s="19" t="s">
        <v>51</v>
      </c>
      <c r="D94" s="20"/>
      <c r="E94" s="22"/>
      <c r="F94" s="25">
        <f>TRUNC(SUMIF(N88:N93, N87, F88:F93),0)</f>
        <v>243</v>
      </c>
      <c r="G94" s="22"/>
      <c r="H94" s="25">
        <f>TRUNC(SUMIF(N88:N93, N87, H88:H93),0)</f>
        <v>10563</v>
      </c>
      <c r="I94" s="22"/>
      <c r="J94" s="25">
        <f>TRUNC(SUMIF(N88:N93, N87, J88:J93),0)</f>
        <v>0</v>
      </c>
      <c r="K94" s="22"/>
      <c r="L94" s="25">
        <f>F94+H94+J94</f>
        <v>10806</v>
      </c>
      <c r="M94" s="19" t="s">
        <v>51</v>
      </c>
      <c r="N94" s="1" t="s">
        <v>83</v>
      </c>
      <c r="O94" s="1" t="s">
        <v>83</v>
      </c>
      <c r="P94" s="1" t="s">
        <v>51</v>
      </c>
      <c r="Q94" s="1" t="s">
        <v>51</v>
      </c>
      <c r="R94" s="1" t="s">
        <v>51</v>
      </c>
      <c r="AV94" s="1" t="s">
        <v>51</v>
      </c>
      <c r="AW94" s="1" t="s">
        <v>51</v>
      </c>
      <c r="AX94" s="1" t="s">
        <v>51</v>
      </c>
      <c r="AY94" s="1" t="s">
        <v>51</v>
      </c>
      <c r="AZ94" s="1" t="s">
        <v>51</v>
      </c>
    </row>
    <row r="95" spans="1:52" ht="30" customHeight="1" x14ac:dyDescent="0.3">
      <c r="A95" s="20"/>
      <c r="B95" s="20"/>
      <c r="C95" s="20"/>
      <c r="D95" s="20"/>
      <c r="E95" s="22"/>
      <c r="F95" s="25"/>
      <c r="G95" s="22"/>
      <c r="H95" s="25"/>
      <c r="I95" s="22"/>
      <c r="J95" s="25"/>
      <c r="K95" s="22"/>
      <c r="L95" s="25"/>
      <c r="M95" s="20"/>
    </row>
    <row r="96" spans="1:52" ht="30" customHeight="1" x14ac:dyDescent="0.3">
      <c r="A96" s="16" t="s">
        <v>422</v>
      </c>
      <c r="B96" s="17"/>
      <c r="C96" s="17"/>
      <c r="D96" s="17"/>
      <c r="E96" s="21"/>
      <c r="F96" s="24"/>
      <c r="G96" s="21"/>
      <c r="H96" s="24"/>
      <c r="I96" s="21"/>
      <c r="J96" s="24"/>
      <c r="K96" s="21"/>
      <c r="L96" s="24"/>
      <c r="M96" s="18"/>
      <c r="N96" s="1" t="s">
        <v>123</v>
      </c>
    </row>
    <row r="97" spans="1:52" ht="30" customHeight="1" x14ac:dyDescent="0.3">
      <c r="A97" s="19" t="s">
        <v>413</v>
      </c>
      <c r="B97" s="19" t="s">
        <v>423</v>
      </c>
      <c r="C97" s="19" t="s">
        <v>66</v>
      </c>
      <c r="D97" s="20">
        <v>1</v>
      </c>
      <c r="E97" s="22">
        <f>단가대비표!O46</f>
        <v>240</v>
      </c>
      <c r="F97" s="25">
        <f t="shared" ref="F97:F102" si="32">TRUNC(E97*D97,1)</f>
        <v>240</v>
      </c>
      <c r="G97" s="22">
        <f>단가대비표!P46</f>
        <v>0</v>
      </c>
      <c r="H97" s="25">
        <f t="shared" ref="H97:H102" si="33">TRUNC(G97*D97,1)</f>
        <v>0</v>
      </c>
      <c r="I97" s="22">
        <f>단가대비표!V46</f>
        <v>0</v>
      </c>
      <c r="J97" s="25">
        <f t="shared" ref="J97:J102" si="34">TRUNC(I97*D97,1)</f>
        <v>0</v>
      </c>
      <c r="K97" s="22">
        <f t="shared" ref="K97:L102" si="35">TRUNC(E97+G97+I97,1)</f>
        <v>240</v>
      </c>
      <c r="L97" s="25">
        <f t="shared" si="35"/>
        <v>240</v>
      </c>
      <c r="M97" s="19" t="s">
        <v>51</v>
      </c>
      <c r="N97" s="1" t="s">
        <v>123</v>
      </c>
      <c r="O97" s="1" t="s">
        <v>424</v>
      </c>
      <c r="P97" s="1" t="s">
        <v>62</v>
      </c>
      <c r="Q97" s="1" t="s">
        <v>62</v>
      </c>
      <c r="R97" s="1" t="s">
        <v>61</v>
      </c>
      <c r="V97">
        <v>1</v>
      </c>
      <c r="W97">
        <v>2</v>
      </c>
      <c r="AV97" s="1" t="s">
        <v>51</v>
      </c>
      <c r="AW97" s="1" t="s">
        <v>425</v>
      </c>
      <c r="AX97" s="1" t="s">
        <v>51</v>
      </c>
      <c r="AY97" s="1" t="s">
        <v>51</v>
      </c>
      <c r="AZ97" s="1" t="s">
        <v>51</v>
      </c>
    </row>
    <row r="98" spans="1:52" ht="30" customHeight="1" x14ac:dyDescent="0.3">
      <c r="A98" s="19" t="s">
        <v>413</v>
      </c>
      <c r="B98" s="19" t="s">
        <v>423</v>
      </c>
      <c r="C98" s="19" t="s">
        <v>66</v>
      </c>
      <c r="D98" s="20">
        <v>0.1</v>
      </c>
      <c r="E98" s="22">
        <f>단가대비표!O46</f>
        <v>240</v>
      </c>
      <c r="F98" s="25">
        <f t="shared" si="32"/>
        <v>24</v>
      </c>
      <c r="G98" s="22">
        <f>단가대비표!P46</f>
        <v>0</v>
      </c>
      <c r="H98" s="25">
        <f t="shared" si="33"/>
        <v>0</v>
      </c>
      <c r="I98" s="22">
        <f>단가대비표!V46</f>
        <v>0</v>
      </c>
      <c r="J98" s="25">
        <f t="shared" si="34"/>
        <v>0</v>
      </c>
      <c r="K98" s="22">
        <f t="shared" si="35"/>
        <v>240</v>
      </c>
      <c r="L98" s="25">
        <f t="shared" si="35"/>
        <v>24</v>
      </c>
      <c r="M98" s="19" t="s">
        <v>51</v>
      </c>
      <c r="N98" s="1" t="s">
        <v>123</v>
      </c>
      <c r="O98" s="1" t="s">
        <v>424</v>
      </c>
      <c r="P98" s="1" t="s">
        <v>62</v>
      </c>
      <c r="Q98" s="1" t="s">
        <v>62</v>
      </c>
      <c r="R98" s="1" t="s">
        <v>61</v>
      </c>
      <c r="AV98" s="1" t="s">
        <v>51</v>
      </c>
      <c r="AW98" s="1" t="s">
        <v>425</v>
      </c>
      <c r="AX98" s="1" t="s">
        <v>51</v>
      </c>
      <c r="AY98" s="1" t="s">
        <v>51</v>
      </c>
      <c r="AZ98" s="1" t="s">
        <v>51</v>
      </c>
    </row>
    <row r="99" spans="1:52" ht="30" customHeight="1" x14ac:dyDescent="0.3">
      <c r="A99" s="19" t="s">
        <v>288</v>
      </c>
      <c r="B99" s="19" t="s">
        <v>417</v>
      </c>
      <c r="C99" s="19" t="s">
        <v>229</v>
      </c>
      <c r="D99" s="20">
        <v>1</v>
      </c>
      <c r="E99" s="22">
        <f>TRUNC(SUMIF(V97:V102, RIGHTB(O99, 1), F97:F102)*U99, 2)</f>
        <v>96</v>
      </c>
      <c r="F99" s="25">
        <f t="shared" si="32"/>
        <v>96</v>
      </c>
      <c r="G99" s="22">
        <v>0</v>
      </c>
      <c r="H99" s="25">
        <f t="shared" si="33"/>
        <v>0</v>
      </c>
      <c r="I99" s="22">
        <v>0</v>
      </c>
      <c r="J99" s="25">
        <f t="shared" si="34"/>
        <v>0</v>
      </c>
      <c r="K99" s="22">
        <f t="shared" si="35"/>
        <v>96</v>
      </c>
      <c r="L99" s="25">
        <f t="shared" si="35"/>
        <v>96</v>
      </c>
      <c r="M99" s="19" t="s">
        <v>51</v>
      </c>
      <c r="N99" s="1" t="s">
        <v>123</v>
      </c>
      <c r="O99" s="1" t="s">
        <v>234</v>
      </c>
      <c r="P99" s="1" t="s">
        <v>62</v>
      </c>
      <c r="Q99" s="1" t="s">
        <v>62</v>
      </c>
      <c r="R99" s="1" t="s">
        <v>62</v>
      </c>
      <c r="S99">
        <v>0</v>
      </c>
      <c r="T99">
        <v>0</v>
      </c>
      <c r="U99">
        <v>0.4</v>
      </c>
      <c r="AV99" s="1" t="s">
        <v>51</v>
      </c>
      <c r="AW99" s="1" t="s">
        <v>426</v>
      </c>
      <c r="AX99" s="1" t="s">
        <v>51</v>
      </c>
      <c r="AY99" s="1" t="s">
        <v>51</v>
      </c>
      <c r="AZ99" s="1" t="s">
        <v>51</v>
      </c>
    </row>
    <row r="100" spans="1:52" ht="30" customHeight="1" x14ac:dyDescent="0.3">
      <c r="A100" s="19" t="s">
        <v>291</v>
      </c>
      <c r="B100" s="19" t="s">
        <v>292</v>
      </c>
      <c r="C100" s="19" t="s">
        <v>229</v>
      </c>
      <c r="D100" s="20">
        <v>1</v>
      </c>
      <c r="E100" s="22">
        <f>TRUNC(SUMIF(W97:W102, RIGHTB(O100, 1), F97:F102)*U100, 2)</f>
        <v>4.8</v>
      </c>
      <c r="F100" s="25">
        <f t="shared" si="32"/>
        <v>4.8</v>
      </c>
      <c r="G100" s="22">
        <v>0</v>
      </c>
      <c r="H100" s="25">
        <f t="shared" si="33"/>
        <v>0</v>
      </c>
      <c r="I100" s="22">
        <v>0</v>
      </c>
      <c r="J100" s="25">
        <f t="shared" si="34"/>
        <v>0</v>
      </c>
      <c r="K100" s="22">
        <f t="shared" si="35"/>
        <v>4.8</v>
      </c>
      <c r="L100" s="25">
        <f t="shared" si="35"/>
        <v>4.8</v>
      </c>
      <c r="M100" s="19" t="s">
        <v>51</v>
      </c>
      <c r="N100" s="1" t="s">
        <v>123</v>
      </c>
      <c r="O100" s="1" t="s">
        <v>293</v>
      </c>
      <c r="P100" s="1" t="s">
        <v>62</v>
      </c>
      <c r="Q100" s="1" t="s">
        <v>62</v>
      </c>
      <c r="R100" s="1" t="s">
        <v>62</v>
      </c>
      <c r="S100">
        <v>0</v>
      </c>
      <c r="T100">
        <v>0</v>
      </c>
      <c r="U100">
        <v>0.02</v>
      </c>
      <c r="AV100" s="1" t="s">
        <v>51</v>
      </c>
      <c r="AW100" s="1" t="s">
        <v>427</v>
      </c>
      <c r="AX100" s="1" t="s">
        <v>51</v>
      </c>
      <c r="AY100" s="1" t="s">
        <v>51</v>
      </c>
      <c r="AZ100" s="1" t="s">
        <v>51</v>
      </c>
    </row>
    <row r="101" spans="1:52" ht="30" customHeight="1" x14ac:dyDescent="0.3">
      <c r="A101" s="19" t="s">
        <v>295</v>
      </c>
      <c r="B101" s="19" t="s">
        <v>296</v>
      </c>
      <c r="C101" s="19" t="s">
        <v>297</v>
      </c>
      <c r="D101" s="20">
        <f>공량산출근거서!K47</f>
        <v>4.3200000000000002E-2</v>
      </c>
      <c r="E101" s="22">
        <f>단가대비표!O63</f>
        <v>0</v>
      </c>
      <c r="F101" s="25">
        <f t="shared" si="32"/>
        <v>0</v>
      </c>
      <c r="G101" s="22">
        <f>단가대비표!P63</f>
        <v>284880</v>
      </c>
      <c r="H101" s="25">
        <f t="shared" si="33"/>
        <v>12306.8</v>
      </c>
      <c r="I101" s="22">
        <f>단가대비표!V63</f>
        <v>0</v>
      </c>
      <c r="J101" s="25">
        <f t="shared" si="34"/>
        <v>0</v>
      </c>
      <c r="K101" s="22">
        <f t="shared" si="35"/>
        <v>284880</v>
      </c>
      <c r="L101" s="25">
        <f t="shared" si="35"/>
        <v>12306.8</v>
      </c>
      <c r="M101" s="19" t="s">
        <v>51</v>
      </c>
      <c r="N101" s="1" t="s">
        <v>123</v>
      </c>
      <c r="O101" s="1" t="s">
        <v>298</v>
      </c>
      <c r="P101" s="1" t="s">
        <v>62</v>
      </c>
      <c r="Q101" s="1" t="s">
        <v>62</v>
      </c>
      <c r="R101" s="1" t="s">
        <v>61</v>
      </c>
      <c r="X101">
        <v>3</v>
      </c>
      <c r="AV101" s="1" t="s">
        <v>51</v>
      </c>
      <c r="AW101" s="1" t="s">
        <v>428</v>
      </c>
      <c r="AX101" s="1" t="s">
        <v>51</v>
      </c>
      <c r="AY101" s="1" t="s">
        <v>51</v>
      </c>
      <c r="AZ101" s="1" t="s">
        <v>51</v>
      </c>
    </row>
    <row r="102" spans="1:52" ht="30" customHeight="1" x14ac:dyDescent="0.3">
      <c r="A102" s="19" t="s">
        <v>280</v>
      </c>
      <c r="B102" s="19" t="s">
        <v>281</v>
      </c>
      <c r="C102" s="19" t="s">
        <v>229</v>
      </c>
      <c r="D102" s="20">
        <v>1</v>
      </c>
      <c r="E102" s="22">
        <v>0</v>
      </c>
      <c r="F102" s="25">
        <f t="shared" si="32"/>
        <v>0</v>
      </c>
      <c r="G102" s="22">
        <f>TRUNC(SUMIF(X97:X102, RIGHTB(O102, 1), H97:H102)*U102, 2)</f>
        <v>369.2</v>
      </c>
      <c r="H102" s="25">
        <f t="shared" si="33"/>
        <v>369.2</v>
      </c>
      <c r="I102" s="22">
        <v>0</v>
      </c>
      <c r="J102" s="25">
        <f t="shared" si="34"/>
        <v>0</v>
      </c>
      <c r="K102" s="22">
        <f t="shared" si="35"/>
        <v>369.2</v>
      </c>
      <c r="L102" s="25">
        <f t="shared" si="35"/>
        <v>369.2</v>
      </c>
      <c r="M102" s="19" t="s">
        <v>51</v>
      </c>
      <c r="N102" s="1" t="s">
        <v>123</v>
      </c>
      <c r="O102" s="1" t="s">
        <v>300</v>
      </c>
      <c r="P102" s="1" t="s">
        <v>62</v>
      </c>
      <c r="Q102" s="1" t="s">
        <v>62</v>
      </c>
      <c r="R102" s="1" t="s">
        <v>62</v>
      </c>
      <c r="S102">
        <v>1</v>
      </c>
      <c r="T102">
        <v>1</v>
      </c>
      <c r="U102">
        <v>0.03</v>
      </c>
      <c r="AV102" s="1" t="s">
        <v>51</v>
      </c>
      <c r="AW102" s="1" t="s">
        <v>429</v>
      </c>
      <c r="AX102" s="1" t="s">
        <v>51</v>
      </c>
      <c r="AY102" s="1" t="s">
        <v>51</v>
      </c>
      <c r="AZ102" s="1" t="s">
        <v>51</v>
      </c>
    </row>
    <row r="103" spans="1:52" ht="30" customHeight="1" x14ac:dyDescent="0.3">
      <c r="A103" s="19" t="s">
        <v>283</v>
      </c>
      <c r="B103" s="19" t="s">
        <v>51</v>
      </c>
      <c r="C103" s="19" t="s">
        <v>51</v>
      </c>
      <c r="D103" s="20"/>
      <c r="E103" s="22"/>
      <c r="F103" s="25">
        <f>TRUNC(SUMIF(N97:N102, N96, F97:F102),0)</f>
        <v>364</v>
      </c>
      <c r="G103" s="22"/>
      <c r="H103" s="25">
        <f>TRUNC(SUMIF(N97:N102, N96, H97:H102),0)</f>
        <v>12676</v>
      </c>
      <c r="I103" s="22"/>
      <c r="J103" s="25">
        <f>TRUNC(SUMIF(N97:N102, N96, J97:J102),0)</f>
        <v>0</v>
      </c>
      <c r="K103" s="22"/>
      <c r="L103" s="25">
        <f>F103+H103+J103</f>
        <v>13040</v>
      </c>
      <c r="M103" s="19" t="s">
        <v>51</v>
      </c>
      <c r="N103" s="1" t="s">
        <v>83</v>
      </c>
      <c r="O103" s="1" t="s">
        <v>83</v>
      </c>
      <c r="P103" s="1" t="s">
        <v>51</v>
      </c>
      <c r="Q103" s="1" t="s">
        <v>51</v>
      </c>
      <c r="R103" s="1" t="s">
        <v>51</v>
      </c>
      <c r="AV103" s="1" t="s">
        <v>51</v>
      </c>
      <c r="AW103" s="1" t="s">
        <v>51</v>
      </c>
      <c r="AX103" s="1" t="s">
        <v>51</v>
      </c>
      <c r="AY103" s="1" t="s">
        <v>51</v>
      </c>
      <c r="AZ103" s="1" t="s">
        <v>51</v>
      </c>
    </row>
    <row r="104" spans="1:52" ht="30" customHeight="1" x14ac:dyDescent="0.3">
      <c r="A104" s="20"/>
      <c r="B104" s="20"/>
      <c r="C104" s="20"/>
      <c r="D104" s="20"/>
      <c r="E104" s="22"/>
      <c r="F104" s="25"/>
      <c r="G104" s="22"/>
      <c r="H104" s="25"/>
      <c r="I104" s="22"/>
      <c r="J104" s="25"/>
      <c r="K104" s="22"/>
      <c r="L104" s="25"/>
      <c r="M104" s="20"/>
    </row>
    <row r="105" spans="1:52" ht="30" customHeight="1" x14ac:dyDescent="0.3">
      <c r="A105" s="16" t="s">
        <v>430</v>
      </c>
      <c r="B105" s="17"/>
      <c r="C105" s="17"/>
      <c r="D105" s="17"/>
      <c r="E105" s="21"/>
      <c r="F105" s="24"/>
      <c r="G105" s="21"/>
      <c r="H105" s="24"/>
      <c r="I105" s="21"/>
      <c r="J105" s="24"/>
      <c r="K105" s="21"/>
      <c r="L105" s="24"/>
      <c r="M105" s="18"/>
      <c r="N105" s="1" t="s">
        <v>127</v>
      </c>
    </row>
    <row r="106" spans="1:52" ht="30" customHeight="1" x14ac:dyDescent="0.3">
      <c r="A106" s="19" t="s">
        <v>413</v>
      </c>
      <c r="B106" s="19" t="s">
        <v>431</v>
      </c>
      <c r="C106" s="19" t="s">
        <v>66</v>
      </c>
      <c r="D106" s="20">
        <v>1</v>
      </c>
      <c r="E106" s="22">
        <f>단가대비표!O47</f>
        <v>330</v>
      </c>
      <c r="F106" s="25">
        <f t="shared" ref="F106:F111" si="36">TRUNC(E106*D106,1)</f>
        <v>330</v>
      </c>
      <c r="G106" s="22">
        <f>단가대비표!P47</f>
        <v>0</v>
      </c>
      <c r="H106" s="25">
        <f t="shared" ref="H106:H111" si="37">TRUNC(G106*D106,1)</f>
        <v>0</v>
      </c>
      <c r="I106" s="22">
        <f>단가대비표!V47</f>
        <v>0</v>
      </c>
      <c r="J106" s="25">
        <f t="shared" ref="J106:J111" si="38">TRUNC(I106*D106,1)</f>
        <v>0</v>
      </c>
      <c r="K106" s="22">
        <f t="shared" ref="K106:L111" si="39">TRUNC(E106+G106+I106,1)</f>
        <v>330</v>
      </c>
      <c r="L106" s="25">
        <f t="shared" si="39"/>
        <v>330</v>
      </c>
      <c r="M106" s="19" t="s">
        <v>51</v>
      </c>
      <c r="N106" s="1" t="s">
        <v>127</v>
      </c>
      <c r="O106" s="1" t="s">
        <v>432</v>
      </c>
      <c r="P106" s="1" t="s">
        <v>62</v>
      </c>
      <c r="Q106" s="1" t="s">
        <v>62</v>
      </c>
      <c r="R106" s="1" t="s">
        <v>61</v>
      </c>
      <c r="V106">
        <v>1</v>
      </c>
      <c r="W106">
        <v>2</v>
      </c>
      <c r="AV106" s="1" t="s">
        <v>51</v>
      </c>
      <c r="AW106" s="1" t="s">
        <v>433</v>
      </c>
      <c r="AX106" s="1" t="s">
        <v>51</v>
      </c>
      <c r="AY106" s="1" t="s">
        <v>51</v>
      </c>
      <c r="AZ106" s="1" t="s">
        <v>51</v>
      </c>
    </row>
    <row r="107" spans="1:52" ht="30" customHeight="1" x14ac:dyDescent="0.3">
      <c r="A107" s="19" t="s">
        <v>413</v>
      </c>
      <c r="B107" s="19" t="s">
        <v>431</v>
      </c>
      <c r="C107" s="19" t="s">
        <v>66</v>
      </c>
      <c r="D107" s="20">
        <v>0.1</v>
      </c>
      <c r="E107" s="22">
        <f>단가대비표!O47</f>
        <v>330</v>
      </c>
      <c r="F107" s="25">
        <f t="shared" si="36"/>
        <v>33</v>
      </c>
      <c r="G107" s="22">
        <f>단가대비표!P47</f>
        <v>0</v>
      </c>
      <c r="H107" s="25">
        <f t="shared" si="37"/>
        <v>0</v>
      </c>
      <c r="I107" s="22">
        <f>단가대비표!V47</f>
        <v>0</v>
      </c>
      <c r="J107" s="25">
        <f t="shared" si="38"/>
        <v>0</v>
      </c>
      <c r="K107" s="22">
        <f t="shared" si="39"/>
        <v>330</v>
      </c>
      <c r="L107" s="25">
        <f t="shared" si="39"/>
        <v>33</v>
      </c>
      <c r="M107" s="19" t="s">
        <v>51</v>
      </c>
      <c r="N107" s="1" t="s">
        <v>127</v>
      </c>
      <c r="O107" s="1" t="s">
        <v>432</v>
      </c>
      <c r="P107" s="1" t="s">
        <v>62</v>
      </c>
      <c r="Q107" s="1" t="s">
        <v>62</v>
      </c>
      <c r="R107" s="1" t="s">
        <v>61</v>
      </c>
      <c r="AV107" s="1" t="s">
        <v>51</v>
      </c>
      <c r="AW107" s="1" t="s">
        <v>433</v>
      </c>
      <c r="AX107" s="1" t="s">
        <v>51</v>
      </c>
      <c r="AY107" s="1" t="s">
        <v>51</v>
      </c>
      <c r="AZ107" s="1" t="s">
        <v>51</v>
      </c>
    </row>
    <row r="108" spans="1:52" ht="30" customHeight="1" x14ac:dyDescent="0.3">
      <c r="A108" s="19" t="s">
        <v>288</v>
      </c>
      <c r="B108" s="19" t="s">
        <v>417</v>
      </c>
      <c r="C108" s="19" t="s">
        <v>229</v>
      </c>
      <c r="D108" s="20">
        <v>1</v>
      </c>
      <c r="E108" s="22">
        <f>TRUNC(SUMIF(V106:V111, RIGHTB(O108, 1), F106:F111)*U108, 2)</f>
        <v>132</v>
      </c>
      <c r="F108" s="25">
        <f t="shared" si="36"/>
        <v>132</v>
      </c>
      <c r="G108" s="22">
        <v>0</v>
      </c>
      <c r="H108" s="25">
        <f t="shared" si="37"/>
        <v>0</v>
      </c>
      <c r="I108" s="22">
        <v>0</v>
      </c>
      <c r="J108" s="25">
        <f t="shared" si="38"/>
        <v>0</v>
      </c>
      <c r="K108" s="22">
        <f t="shared" si="39"/>
        <v>132</v>
      </c>
      <c r="L108" s="25">
        <f t="shared" si="39"/>
        <v>132</v>
      </c>
      <c r="M108" s="19" t="s">
        <v>51</v>
      </c>
      <c r="N108" s="1" t="s">
        <v>127</v>
      </c>
      <c r="O108" s="1" t="s">
        <v>234</v>
      </c>
      <c r="P108" s="1" t="s">
        <v>62</v>
      </c>
      <c r="Q108" s="1" t="s">
        <v>62</v>
      </c>
      <c r="R108" s="1" t="s">
        <v>62</v>
      </c>
      <c r="S108">
        <v>0</v>
      </c>
      <c r="T108">
        <v>0</v>
      </c>
      <c r="U108">
        <v>0.4</v>
      </c>
      <c r="AV108" s="1" t="s">
        <v>51</v>
      </c>
      <c r="AW108" s="1" t="s">
        <v>434</v>
      </c>
      <c r="AX108" s="1" t="s">
        <v>51</v>
      </c>
      <c r="AY108" s="1" t="s">
        <v>51</v>
      </c>
      <c r="AZ108" s="1" t="s">
        <v>51</v>
      </c>
    </row>
    <row r="109" spans="1:52" ht="30" customHeight="1" x14ac:dyDescent="0.3">
      <c r="A109" s="19" t="s">
        <v>291</v>
      </c>
      <c r="B109" s="19" t="s">
        <v>292</v>
      </c>
      <c r="C109" s="19" t="s">
        <v>229</v>
      </c>
      <c r="D109" s="20">
        <v>1</v>
      </c>
      <c r="E109" s="22">
        <f>TRUNC(SUMIF(W106:W111, RIGHTB(O109, 1), F106:F111)*U109, 2)</f>
        <v>6.6</v>
      </c>
      <c r="F109" s="25">
        <f t="shared" si="36"/>
        <v>6.6</v>
      </c>
      <c r="G109" s="22">
        <v>0</v>
      </c>
      <c r="H109" s="25">
        <f t="shared" si="37"/>
        <v>0</v>
      </c>
      <c r="I109" s="22">
        <v>0</v>
      </c>
      <c r="J109" s="25">
        <f t="shared" si="38"/>
        <v>0</v>
      </c>
      <c r="K109" s="22">
        <f t="shared" si="39"/>
        <v>6.6</v>
      </c>
      <c r="L109" s="25">
        <f t="shared" si="39"/>
        <v>6.6</v>
      </c>
      <c r="M109" s="19" t="s">
        <v>51</v>
      </c>
      <c r="N109" s="1" t="s">
        <v>127</v>
      </c>
      <c r="O109" s="1" t="s">
        <v>293</v>
      </c>
      <c r="P109" s="1" t="s">
        <v>62</v>
      </c>
      <c r="Q109" s="1" t="s">
        <v>62</v>
      </c>
      <c r="R109" s="1" t="s">
        <v>62</v>
      </c>
      <c r="S109">
        <v>0</v>
      </c>
      <c r="T109">
        <v>0</v>
      </c>
      <c r="U109">
        <v>0.02</v>
      </c>
      <c r="AV109" s="1" t="s">
        <v>51</v>
      </c>
      <c r="AW109" s="1" t="s">
        <v>435</v>
      </c>
      <c r="AX109" s="1" t="s">
        <v>51</v>
      </c>
      <c r="AY109" s="1" t="s">
        <v>51</v>
      </c>
      <c r="AZ109" s="1" t="s">
        <v>51</v>
      </c>
    </row>
    <row r="110" spans="1:52" ht="30" customHeight="1" x14ac:dyDescent="0.3">
      <c r="A110" s="19" t="s">
        <v>295</v>
      </c>
      <c r="B110" s="19" t="s">
        <v>296</v>
      </c>
      <c r="C110" s="19" t="s">
        <v>297</v>
      </c>
      <c r="D110" s="20">
        <f>공량산출근거서!K50</f>
        <v>5.7599999999999998E-2</v>
      </c>
      <c r="E110" s="22">
        <f>단가대비표!O63</f>
        <v>0</v>
      </c>
      <c r="F110" s="25">
        <f t="shared" si="36"/>
        <v>0</v>
      </c>
      <c r="G110" s="22">
        <f>단가대비표!P63</f>
        <v>284880</v>
      </c>
      <c r="H110" s="25">
        <f t="shared" si="37"/>
        <v>16409</v>
      </c>
      <c r="I110" s="22">
        <f>단가대비표!V63</f>
        <v>0</v>
      </c>
      <c r="J110" s="25">
        <f t="shared" si="38"/>
        <v>0</v>
      </c>
      <c r="K110" s="22">
        <f t="shared" si="39"/>
        <v>284880</v>
      </c>
      <c r="L110" s="25">
        <f t="shared" si="39"/>
        <v>16409</v>
      </c>
      <c r="M110" s="19" t="s">
        <v>51</v>
      </c>
      <c r="N110" s="1" t="s">
        <v>127</v>
      </c>
      <c r="O110" s="1" t="s">
        <v>298</v>
      </c>
      <c r="P110" s="1" t="s">
        <v>62</v>
      </c>
      <c r="Q110" s="1" t="s">
        <v>62</v>
      </c>
      <c r="R110" s="1" t="s">
        <v>61</v>
      </c>
      <c r="X110">
        <v>3</v>
      </c>
      <c r="AV110" s="1" t="s">
        <v>51</v>
      </c>
      <c r="AW110" s="1" t="s">
        <v>436</v>
      </c>
      <c r="AX110" s="1" t="s">
        <v>51</v>
      </c>
      <c r="AY110" s="1" t="s">
        <v>51</v>
      </c>
      <c r="AZ110" s="1" t="s">
        <v>51</v>
      </c>
    </row>
    <row r="111" spans="1:52" ht="30" customHeight="1" x14ac:dyDescent="0.3">
      <c r="A111" s="19" t="s">
        <v>280</v>
      </c>
      <c r="B111" s="19" t="s">
        <v>281</v>
      </c>
      <c r="C111" s="19" t="s">
        <v>229</v>
      </c>
      <c r="D111" s="20">
        <v>1</v>
      </c>
      <c r="E111" s="22">
        <v>0</v>
      </c>
      <c r="F111" s="25">
        <f t="shared" si="36"/>
        <v>0</v>
      </c>
      <c r="G111" s="22">
        <f>TRUNC(SUMIF(X106:X111, RIGHTB(O111, 1), H106:H111)*U111, 2)</f>
        <v>492.27</v>
      </c>
      <c r="H111" s="25">
        <f t="shared" si="37"/>
        <v>492.2</v>
      </c>
      <c r="I111" s="22">
        <v>0</v>
      </c>
      <c r="J111" s="25">
        <f t="shared" si="38"/>
        <v>0</v>
      </c>
      <c r="K111" s="22">
        <f t="shared" si="39"/>
        <v>492.2</v>
      </c>
      <c r="L111" s="25">
        <f t="shared" si="39"/>
        <v>492.2</v>
      </c>
      <c r="M111" s="19" t="s">
        <v>51</v>
      </c>
      <c r="N111" s="1" t="s">
        <v>127</v>
      </c>
      <c r="O111" s="1" t="s">
        <v>300</v>
      </c>
      <c r="P111" s="1" t="s">
        <v>62</v>
      </c>
      <c r="Q111" s="1" t="s">
        <v>62</v>
      </c>
      <c r="R111" s="1" t="s">
        <v>62</v>
      </c>
      <c r="S111">
        <v>1</v>
      </c>
      <c r="T111">
        <v>1</v>
      </c>
      <c r="U111">
        <v>0.03</v>
      </c>
      <c r="AV111" s="1" t="s">
        <v>51</v>
      </c>
      <c r="AW111" s="1" t="s">
        <v>437</v>
      </c>
      <c r="AX111" s="1" t="s">
        <v>51</v>
      </c>
      <c r="AY111" s="1" t="s">
        <v>51</v>
      </c>
      <c r="AZ111" s="1" t="s">
        <v>51</v>
      </c>
    </row>
    <row r="112" spans="1:52" ht="30" customHeight="1" x14ac:dyDescent="0.3">
      <c r="A112" s="19" t="s">
        <v>283</v>
      </c>
      <c r="B112" s="19" t="s">
        <v>51</v>
      </c>
      <c r="C112" s="19" t="s">
        <v>51</v>
      </c>
      <c r="D112" s="20"/>
      <c r="E112" s="22"/>
      <c r="F112" s="25">
        <f>TRUNC(SUMIF(N106:N111, N105, F106:F111),0)</f>
        <v>501</v>
      </c>
      <c r="G112" s="22"/>
      <c r="H112" s="25">
        <f>TRUNC(SUMIF(N106:N111, N105, H106:H111),0)</f>
        <v>16901</v>
      </c>
      <c r="I112" s="22"/>
      <c r="J112" s="25">
        <f>TRUNC(SUMIF(N106:N111, N105, J106:J111),0)</f>
        <v>0</v>
      </c>
      <c r="K112" s="22"/>
      <c r="L112" s="25">
        <f>F112+H112+J112</f>
        <v>17402</v>
      </c>
      <c r="M112" s="19" t="s">
        <v>51</v>
      </c>
      <c r="N112" s="1" t="s">
        <v>83</v>
      </c>
      <c r="O112" s="1" t="s">
        <v>83</v>
      </c>
      <c r="P112" s="1" t="s">
        <v>51</v>
      </c>
      <c r="Q112" s="1" t="s">
        <v>51</v>
      </c>
      <c r="R112" s="1" t="s">
        <v>51</v>
      </c>
      <c r="AV112" s="1" t="s">
        <v>51</v>
      </c>
      <c r="AW112" s="1" t="s">
        <v>51</v>
      </c>
      <c r="AX112" s="1" t="s">
        <v>51</v>
      </c>
      <c r="AY112" s="1" t="s">
        <v>51</v>
      </c>
      <c r="AZ112" s="1" t="s">
        <v>51</v>
      </c>
    </row>
    <row r="113" spans="1:52" ht="30" customHeight="1" x14ac:dyDescent="0.3">
      <c r="A113" s="20"/>
      <c r="B113" s="20"/>
      <c r="C113" s="20"/>
      <c r="D113" s="20"/>
      <c r="E113" s="22"/>
      <c r="F113" s="25"/>
      <c r="G113" s="22"/>
      <c r="H113" s="25"/>
      <c r="I113" s="22"/>
      <c r="J113" s="25"/>
      <c r="K113" s="22"/>
      <c r="L113" s="25"/>
      <c r="M113" s="20"/>
    </row>
    <row r="114" spans="1:52" ht="30" customHeight="1" x14ac:dyDescent="0.3">
      <c r="A114" s="16" t="s">
        <v>438</v>
      </c>
      <c r="B114" s="17"/>
      <c r="C114" s="17"/>
      <c r="D114" s="17"/>
      <c r="E114" s="21"/>
      <c r="F114" s="24"/>
      <c r="G114" s="21"/>
      <c r="H114" s="24"/>
      <c r="I114" s="21"/>
      <c r="J114" s="24"/>
      <c r="K114" s="21"/>
      <c r="L114" s="24"/>
      <c r="M114" s="18"/>
      <c r="N114" s="1" t="s">
        <v>132</v>
      </c>
    </row>
    <row r="115" spans="1:52" ht="30" customHeight="1" x14ac:dyDescent="0.3">
      <c r="A115" s="19" t="s">
        <v>129</v>
      </c>
      <c r="B115" s="19" t="s">
        <v>439</v>
      </c>
      <c r="C115" s="19" t="s">
        <v>72</v>
      </c>
      <c r="D115" s="20">
        <v>1</v>
      </c>
      <c r="E115" s="22">
        <f>단가대비표!O29</f>
        <v>591</v>
      </c>
      <c r="F115" s="25">
        <f>TRUNC(E115*D115,1)</f>
        <v>591</v>
      </c>
      <c r="G115" s="22">
        <f>단가대비표!P29</f>
        <v>0</v>
      </c>
      <c r="H115" s="25">
        <f>TRUNC(G115*D115,1)</f>
        <v>0</v>
      </c>
      <c r="I115" s="22">
        <f>단가대비표!V29</f>
        <v>0</v>
      </c>
      <c r="J115" s="25">
        <f>TRUNC(I115*D115,1)</f>
        <v>0</v>
      </c>
      <c r="K115" s="22">
        <f t="shared" ref="K115:L117" si="40">TRUNC(E115+G115+I115,1)</f>
        <v>591</v>
      </c>
      <c r="L115" s="25">
        <f t="shared" si="40"/>
        <v>591</v>
      </c>
      <c r="M115" s="19" t="s">
        <v>51</v>
      </c>
      <c r="N115" s="1" t="s">
        <v>132</v>
      </c>
      <c r="O115" s="1" t="s">
        <v>440</v>
      </c>
      <c r="P115" s="1" t="s">
        <v>62</v>
      </c>
      <c r="Q115" s="1" t="s">
        <v>62</v>
      </c>
      <c r="R115" s="1" t="s">
        <v>61</v>
      </c>
      <c r="AV115" s="1" t="s">
        <v>51</v>
      </c>
      <c r="AW115" s="1" t="s">
        <v>441</v>
      </c>
      <c r="AX115" s="1" t="s">
        <v>51</v>
      </c>
      <c r="AY115" s="1" t="s">
        <v>51</v>
      </c>
      <c r="AZ115" s="1" t="s">
        <v>51</v>
      </c>
    </row>
    <row r="116" spans="1:52" ht="30" customHeight="1" x14ac:dyDescent="0.3">
      <c r="A116" s="19" t="s">
        <v>295</v>
      </c>
      <c r="B116" s="19" t="s">
        <v>296</v>
      </c>
      <c r="C116" s="19" t="s">
        <v>297</v>
      </c>
      <c r="D116" s="20">
        <f>공량산출근거서!K53</f>
        <v>0.18</v>
      </c>
      <c r="E116" s="22">
        <f>단가대비표!O63</f>
        <v>0</v>
      </c>
      <c r="F116" s="25">
        <f>TRUNC(E116*D116,1)</f>
        <v>0</v>
      </c>
      <c r="G116" s="22">
        <f>단가대비표!P63</f>
        <v>284880</v>
      </c>
      <c r="H116" s="25">
        <f>TRUNC(G116*D116,1)</f>
        <v>51278.400000000001</v>
      </c>
      <c r="I116" s="22">
        <f>단가대비표!V63</f>
        <v>0</v>
      </c>
      <c r="J116" s="25">
        <f>TRUNC(I116*D116,1)</f>
        <v>0</v>
      </c>
      <c r="K116" s="22">
        <f t="shared" si="40"/>
        <v>284880</v>
      </c>
      <c r="L116" s="25">
        <f t="shared" si="40"/>
        <v>51278.400000000001</v>
      </c>
      <c r="M116" s="19" t="s">
        <v>51</v>
      </c>
      <c r="N116" s="1" t="s">
        <v>132</v>
      </c>
      <c r="O116" s="1" t="s">
        <v>298</v>
      </c>
      <c r="P116" s="1" t="s">
        <v>62</v>
      </c>
      <c r="Q116" s="1" t="s">
        <v>62</v>
      </c>
      <c r="R116" s="1" t="s">
        <v>61</v>
      </c>
      <c r="V116">
        <v>1</v>
      </c>
      <c r="AV116" s="1" t="s">
        <v>51</v>
      </c>
      <c r="AW116" s="1" t="s">
        <v>442</v>
      </c>
      <c r="AX116" s="1" t="s">
        <v>51</v>
      </c>
      <c r="AY116" s="1" t="s">
        <v>51</v>
      </c>
      <c r="AZ116" s="1" t="s">
        <v>51</v>
      </c>
    </row>
    <row r="117" spans="1:52" ht="30" customHeight="1" x14ac:dyDescent="0.3">
      <c r="A117" s="19" t="s">
        <v>280</v>
      </c>
      <c r="B117" s="19" t="s">
        <v>281</v>
      </c>
      <c r="C117" s="19" t="s">
        <v>229</v>
      </c>
      <c r="D117" s="20">
        <v>1</v>
      </c>
      <c r="E117" s="22">
        <v>0</v>
      </c>
      <c r="F117" s="25">
        <f>TRUNC(E117*D117,1)</f>
        <v>0</v>
      </c>
      <c r="G117" s="22">
        <f>TRUNC(SUMIF(V115:V117, RIGHTB(O117, 1), H115:H117)*U117, 2)</f>
        <v>1538.35</v>
      </c>
      <c r="H117" s="25">
        <f>TRUNC(G117*D117,1)</f>
        <v>1538.3</v>
      </c>
      <c r="I117" s="22">
        <v>0</v>
      </c>
      <c r="J117" s="25">
        <f>TRUNC(I117*D117,1)</f>
        <v>0</v>
      </c>
      <c r="K117" s="22">
        <f t="shared" si="40"/>
        <v>1538.3</v>
      </c>
      <c r="L117" s="25">
        <f t="shared" si="40"/>
        <v>1538.3</v>
      </c>
      <c r="M117" s="19" t="s">
        <v>51</v>
      </c>
      <c r="N117" s="1" t="s">
        <v>132</v>
      </c>
      <c r="O117" s="1" t="s">
        <v>234</v>
      </c>
      <c r="P117" s="1" t="s">
        <v>62</v>
      </c>
      <c r="Q117" s="1" t="s">
        <v>62</v>
      </c>
      <c r="R117" s="1" t="s">
        <v>62</v>
      </c>
      <c r="S117">
        <v>1</v>
      </c>
      <c r="T117">
        <v>1</v>
      </c>
      <c r="U117">
        <v>0.03</v>
      </c>
      <c r="AV117" s="1" t="s">
        <v>51</v>
      </c>
      <c r="AW117" s="1" t="s">
        <v>443</v>
      </c>
      <c r="AX117" s="1" t="s">
        <v>51</v>
      </c>
      <c r="AY117" s="1" t="s">
        <v>51</v>
      </c>
      <c r="AZ117" s="1" t="s">
        <v>51</v>
      </c>
    </row>
    <row r="118" spans="1:52" ht="30" customHeight="1" x14ac:dyDescent="0.3">
      <c r="A118" s="19" t="s">
        <v>283</v>
      </c>
      <c r="B118" s="19" t="s">
        <v>51</v>
      </c>
      <c r="C118" s="19" t="s">
        <v>51</v>
      </c>
      <c r="D118" s="20"/>
      <c r="E118" s="22"/>
      <c r="F118" s="25">
        <f>TRUNC(SUMIF(N115:N117, N114, F115:F117),0)</f>
        <v>591</v>
      </c>
      <c r="G118" s="22"/>
      <c r="H118" s="25">
        <f>TRUNC(SUMIF(N115:N117, N114, H115:H117),0)</f>
        <v>52816</v>
      </c>
      <c r="I118" s="22"/>
      <c r="J118" s="25">
        <f>TRUNC(SUMIF(N115:N117, N114, J115:J117),0)</f>
        <v>0</v>
      </c>
      <c r="K118" s="22"/>
      <c r="L118" s="25">
        <f>F118+H118+J118</f>
        <v>53407</v>
      </c>
      <c r="M118" s="19" t="s">
        <v>51</v>
      </c>
      <c r="N118" s="1" t="s">
        <v>83</v>
      </c>
      <c r="O118" s="1" t="s">
        <v>83</v>
      </c>
      <c r="P118" s="1" t="s">
        <v>51</v>
      </c>
      <c r="Q118" s="1" t="s">
        <v>51</v>
      </c>
      <c r="R118" s="1" t="s">
        <v>51</v>
      </c>
      <c r="AV118" s="1" t="s">
        <v>51</v>
      </c>
      <c r="AW118" s="1" t="s">
        <v>51</v>
      </c>
      <c r="AX118" s="1" t="s">
        <v>51</v>
      </c>
      <c r="AY118" s="1" t="s">
        <v>51</v>
      </c>
      <c r="AZ118" s="1" t="s">
        <v>51</v>
      </c>
    </row>
    <row r="119" spans="1:52" ht="30" customHeight="1" x14ac:dyDescent="0.3">
      <c r="A119" s="20"/>
      <c r="B119" s="20"/>
      <c r="C119" s="20"/>
      <c r="D119" s="20"/>
      <c r="E119" s="22"/>
      <c r="F119" s="25"/>
      <c r="G119" s="22"/>
      <c r="H119" s="25"/>
      <c r="I119" s="22"/>
      <c r="J119" s="25"/>
      <c r="K119" s="22"/>
      <c r="L119" s="25"/>
      <c r="M119" s="20"/>
    </row>
    <row r="120" spans="1:52" ht="30" customHeight="1" x14ac:dyDescent="0.3">
      <c r="A120" s="16" t="s">
        <v>444</v>
      </c>
      <c r="B120" s="17"/>
      <c r="C120" s="17"/>
      <c r="D120" s="17"/>
      <c r="E120" s="21"/>
      <c r="F120" s="24"/>
      <c r="G120" s="21"/>
      <c r="H120" s="24"/>
      <c r="I120" s="21"/>
      <c r="J120" s="24"/>
      <c r="K120" s="21"/>
      <c r="L120" s="24"/>
      <c r="M120" s="18"/>
      <c r="N120" s="1" t="s">
        <v>137</v>
      </c>
    </row>
    <row r="121" spans="1:52" ht="30" customHeight="1" x14ac:dyDescent="0.3">
      <c r="A121" s="19" t="s">
        <v>445</v>
      </c>
      <c r="B121" s="19" t="s">
        <v>446</v>
      </c>
      <c r="C121" s="19" t="s">
        <v>72</v>
      </c>
      <c r="D121" s="20">
        <v>1</v>
      </c>
      <c r="E121" s="22">
        <f>단가대비표!O30</f>
        <v>3100</v>
      </c>
      <c r="F121" s="25">
        <f>TRUNC(E121*D121,1)</f>
        <v>3100</v>
      </c>
      <c r="G121" s="22">
        <f>단가대비표!P30</f>
        <v>0</v>
      </c>
      <c r="H121" s="25">
        <f>TRUNC(G121*D121,1)</f>
        <v>0</v>
      </c>
      <c r="I121" s="22">
        <f>단가대비표!V30</f>
        <v>0</v>
      </c>
      <c r="J121" s="25">
        <f>TRUNC(I121*D121,1)</f>
        <v>0</v>
      </c>
      <c r="K121" s="22">
        <f t="shared" ref="K121:L123" si="41">TRUNC(E121+G121+I121,1)</f>
        <v>3100</v>
      </c>
      <c r="L121" s="25">
        <f t="shared" si="41"/>
        <v>3100</v>
      </c>
      <c r="M121" s="19" t="s">
        <v>51</v>
      </c>
      <c r="N121" s="1" t="s">
        <v>137</v>
      </c>
      <c r="O121" s="1" t="s">
        <v>447</v>
      </c>
      <c r="P121" s="1" t="s">
        <v>62</v>
      </c>
      <c r="Q121" s="1" t="s">
        <v>62</v>
      </c>
      <c r="R121" s="1" t="s">
        <v>61</v>
      </c>
      <c r="AV121" s="1" t="s">
        <v>51</v>
      </c>
      <c r="AW121" s="1" t="s">
        <v>448</v>
      </c>
      <c r="AX121" s="1" t="s">
        <v>51</v>
      </c>
      <c r="AY121" s="1" t="s">
        <v>51</v>
      </c>
      <c r="AZ121" s="1" t="s">
        <v>51</v>
      </c>
    </row>
    <row r="122" spans="1:52" ht="30" customHeight="1" x14ac:dyDescent="0.3">
      <c r="A122" s="19" t="s">
        <v>295</v>
      </c>
      <c r="B122" s="19" t="s">
        <v>296</v>
      </c>
      <c r="C122" s="19" t="s">
        <v>297</v>
      </c>
      <c r="D122" s="20">
        <f>공량산출근거서!K56</f>
        <v>0.18</v>
      </c>
      <c r="E122" s="22">
        <f>단가대비표!O63</f>
        <v>0</v>
      </c>
      <c r="F122" s="25">
        <f>TRUNC(E122*D122,1)</f>
        <v>0</v>
      </c>
      <c r="G122" s="22">
        <f>단가대비표!P63</f>
        <v>284880</v>
      </c>
      <c r="H122" s="25">
        <f>TRUNC(G122*D122,1)</f>
        <v>51278.400000000001</v>
      </c>
      <c r="I122" s="22">
        <f>단가대비표!V63</f>
        <v>0</v>
      </c>
      <c r="J122" s="25">
        <f>TRUNC(I122*D122,1)</f>
        <v>0</v>
      </c>
      <c r="K122" s="22">
        <f t="shared" si="41"/>
        <v>284880</v>
      </c>
      <c r="L122" s="25">
        <f t="shared" si="41"/>
        <v>51278.400000000001</v>
      </c>
      <c r="M122" s="19" t="s">
        <v>51</v>
      </c>
      <c r="N122" s="1" t="s">
        <v>137</v>
      </c>
      <c r="O122" s="1" t="s">
        <v>298</v>
      </c>
      <c r="P122" s="1" t="s">
        <v>62</v>
      </c>
      <c r="Q122" s="1" t="s">
        <v>62</v>
      </c>
      <c r="R122" s="1" t="s">
        <v>61</v>
      </c>
      <c r="V122">
        <v>1</v>
      </c>
      <c r="AV122" s="1" t="s">
        <v>51</v>
      </c>
      <c r="AW122" s="1" t="s">
        <v>449</v>
      </c>
      <c r="AX122" s="1" t="s">
        <v>51</v>
      </c>
      <c r="AY122" s="1" t="s">
        <v>51</v>
      </c>
      <c r="AZ122" s="1" t="s">
        <v>51</v>
      </c>
    </row>
    <row r="123" spans="1:52" ht="30" customHeight="1" x14ac:dyDescent="0.3">
      <c r="A123" s="19" t="s">
        <v>280</v>
      </c>
      <c r="B123" s="19" t="s">
        <v>281</v>
      </c>
      <c r="C123" s="19" t="s">
        <v>229</v>
      </c>
      <c r="D123" s="20">
        <v>1</v>
      </c>
      <c r="E123" s="22">
        <v>0</v>
      </c>
      <c r="F123" s="25">
        <f>TRUNC(E123*D123,1)</f>
        <v>0</v>
      </c>
      <c r="G123" s="22">
        <f>TRUNC(SUMIF(V121:V123, RIGHTB(O123, 1), H121:H123)*U123, 2)</f>
        <v>1538.35</v>
      </c>
      <c r="H123" s="25">
        <f>TRUNC(G123*D123,1)</f>
        <v>1538.3</v>
      </c>
      <c r="I123" s="22">
        <v>0</v>
      </c>
      <c r="J123" s="25">
        <f>TRUNC(I123*D123,1)</f>
        <v>0</v>
      </c>
      <c r="K123" s="22">
        <f t="shared" si="41"/>
        <v>1538.3</v>
      </c>
      <c r="L123" s="25">
        <f t="shared" si="41"/>
        <v>1538.3</v>
      </c>
      <c r="M123" s="19" t="s">
        <v>51</v>
      </c>
      <c r="N123" s="1" t="s">
        <v>137</v>
      </c>
      <c r="O123" s="1" t="s">
        <v>234</v>
      </c>
      <c r="P123" s="1" t="s">
        <v>62</v>
      </c>
      <c r="Q123" s="1" t="s">
        <v>62</v>
      </c>
      <c r="R123" s="1" t="s">
        <v>62</v>
      </c>
      <c r="S123">
        <v>1</v>
      </c>
      <c r="T123">
        <v>1</v>
      </c>
      <c r="U123">
        <v>0.03</v>
      </c>
      <c r="AV123" s="1" t="s">
        <v>51</v>
      </c>
      <c r="AW123" s="1" t="s">
        <v>450</v>
      </c>
      <c r="AX123" s="1" t="s">
        <v>51</v>
      </c>
      <c r="AY123" s="1" t="s">
        <v>51</v>
      </c>
      <c r="AZ123" s="1" t="s">
        <v>51</v>
      </c>
    </row>
    <row r="124" spans="1:52" ht="30" customHeight="1" x14ac:dyDescent="0.3">
      <c r="A124" s="19" t="s">
        <v>283</v>
      </c>
      <c r="B124" s="19" t="s">
        <v>51</v>
      </c>
      <c r="C124" s="19" t="s">
        <v>51</v>
      </c>
      <c r="D124" s="20"/>
      <c r="E124" s="22"/>
      <c r="F124" s="25">
        <f>TRUNC(SUMIF(N121:N123, N120, F121:F123),0)</f>
        <v>3100</v>
      </c>
      <c r="G124" s="22"/>
      <c r="H124" s="25">
        <f>TRUNC(SUMIF(N121:N123, N120, H121:H123),0)</f>
        <v>52816</v>
      </c>
      <c r="I124" s="22"/>
      <c r="J124" s="25">
        <f>TRUNC(SUMIF(N121:N123, N120, J121:J123),0)</f>
        <v>0</v>
      </c>
      <c r="K124" s="22"/>
      <c r="L124" s="25">
        <f>F124+H124+J124</f>
        <v>55916</v>
      </c>
      <c r="M124" s="19" t="s">
        <v>51</v>
      </c>
      <c r="N124" s="1" t="s">
        <v>83</v>
      </c>
      <c r="O124" s="1" t="s">
        <v>83</v>
      </c>
      <c r="P124" s="1" t="s">
        <v>51</v>
      </c>
      <c r="Q124" s="1" t="s">
        <v>51</v>
      </c>
      <c r="R124" s="1" t="s">
        <v>51</v>
      </c>
      <c r="AV124" s="1" t="s">
        <v>51</v>
      </c>
      <c r="AW124" s="1" t="s">
        <v>51</v>
      </c>
      <c r="AX124" s="1" t="s">
        <v>51</v>
      </c>
      <c r="AY124" s="1" t="s">
        <v>51</v>
      </c>
      <c r="AZ124" s="1" t="s">
        <v>51</v>
      </c>
    </row>
    <row r="125" spans="1:52" ht="30" customHeight="1" x14ac:dyDescent="0.3">
      <c r="A125" s="20"/>
      <c r="B125" s="20"/>
      <c r="C125" s="20"/>
      <c r="D125" s="20"/>
      <c r="E125" s="22"/>
      <c r="F125" s="25"/>
      <c r="G125" s="22"/>
      <c r="H125" s="25"/>
      <c r="I125" s="22"/>
      <c r="J125" s="25"/>
      <c r="K125" s="22"/>
      <c r="L125" s="25"/>
      <c r="M125" s="20"/>
    </row>
    <row r="126" spans="1:52" ht="30" customHeight="1" x14ac:dyDescent="0.3">
      <c r="A126" s="16" t="s">
        <v>451</v>
      </c>
      <c r="B126" s="17"/>
      <c r="C126" s="17"/>
      <c r="D126" s="17"/>
      <c r="E126" s="21"/>
      <c r="F126" s="24"/>
      <c r="G126" s="21"/>
      <c r="H126" s="24"/>
      <c r="I126" s="21"/>
      <c r="J126" s="24"/>
      <c r="K126" s="21"/>
      <c r="L126" s="24"/>
      <c r="M126" s="18"/>
      <c r="N126" s="1" t="s">
        <v>142</v>
      </c>
    </row>
    <row r="127" spans="1:52" ht="30" customHeight="1" x14ac:dyDescent="0.3">
      <c r="A127" s="19" t="s">
        <v>452</v>
      </c>
      <c r="B127" s="19" t="s">
        <v>453</v>
      </c>
      <c r="C127" s="19" t="s">
        <v>66</v>
      </c>
      <c r="D127" s="20">
        <v>1</v>
      </c>
      <c r="E127" s="22">
        <f>단가대비표!O11</f>
        <v>2831</v>
      </c>
      <c r="F127" s="25">
        <f>TRUNC(E127*D127,1)</f>
        <v>2831</v>
      </c>
      <c r="G127" s="22">
        <f>단가대비표!P11</f>
        <v>0</v>
      </c>
      <c r="H127" s="25">
        <f>TRUNC(G127*D127,1)</f>
        <v>0</v>
      </c>
      <c r="I127" s="22">
        <f>단가대비표!V11</f>
        <v>0</v>
      </c>
      <c r="J127" s="25">
        <f>TRUNC(I127*D127,1)</f>
        <v>0</v>
      </c>
      <c r="K127" s="22">
        <f t="shared" ref="K127:L131" si="42">TRUNC(E127+G127+I127,1)</f>
        <v>2831</v>
      </c>
      <c r="L127" s="25">
        <f t="shared" si="42"/>
        <v>2831</v>
      </c>
      <c r="M127" s="19" t="s">
        <v>51</v>
      </c>
      <c r="N127" s="1" t="s">
        <v>142</v>
      </c>
      <c r="O127" s="1" t="s">
        <v>454</v>
      </c>
      <c r="P127" s="1" t="s">
        <v>62</v>
      </c>
      <c r="Q127" s="1" t="s">
        <v>62</v>
      </c>
      <c r="R127" s="1" t="s">
        <v>61</v>
      </c>
      <c r="V127">
        <v>1</v>
      </c>
      <c r="AV127" s="1" t="s">
        <v>51</v>
      </c>
      <c r="AW127" s="1" t="s">
        <v>455</v>
      </c>
      <c r="AX127" s="1" t="s">
        <v>51</v>
      </c>
      <c r="AY127" s="1" t="s">
        <v>51</v>
      </c>
      <c r="AZ127" s="1" t="s">
        <v>51</v>
      </c>
    </row>
    <row r="128" spans="1:52" ht="30" customHeight="1" x14ac:dyDescent="0.3">
      <c r="A128" s="19" t="s">
        <v>452</v>
      </c>
      <c r="B128" s="19" t="s">
        <v>453</v>
      </c>
      <c r="C128" s="19" t="s">
        <v>66</v>
      </c>
      <c r="D128" s="20">
        <v>0.1</v>
      </c>
      <c r="E128" s="22">
        <f>단가대비표!O11</f>
        <v>2831</v>
      </c>
      <c r="F128" s="25">
        <f>TRUNC(E128*D128,1)</f>
        <v>283.10000000000002</v>
      </c>
      <c r="G128" s="22">
        <f>단가대비표!P11</f>
        <v>0</v>
      </c>
      <c r="H128" s="25">
        <f>TRUNC(G128*D128,1)</f>
        <v>0</v>
      </c>
      <c r="I128" s="22">
        <f>단가대비표!V11</f>
        <v>0</v>
      </c>
      <c r="J128" s="25">
        <f>TRUNC(I128*D128,1)</f>
        <v>0</v>
      </c>
      <c r="K128" s="22">
        <f t="shared" si="42"/>
        <v>2831</v>
      </c>
      <c r="L128" s="25">
        <f t="shared" si="42"/>
        <v>283.10000000000002</v>
      </c>
      <c r="M128" s="19" t="s">
        <v>51</v>
      </c>
      <c r="N128" s="1" t="s">
        <v>142</v>
      </c>
      <c r="O128" s="1" t="s">
        <v>454</v>
      </c>
      <c r="P128" s="1" t="s">
        <v>62</v>
      </c>
      <c r="Q128" s="1" t="s">
        <v>62</v>
      </c>
      <c r="R128" s="1" t="s">
        <v>61</v>
      </c>
      <c r="AV128" s="1" t="s">
        <v>51</v>
      </c>
      <c r="AW128" s="1" t="s">
        <v>455</v>
      </c>
      <c r="AX128" s="1" t="s">
        <v>51</v>
      </c>
      <c r="AY128" s="1" t="s">
        <v>51</v>
      </c>
      <c r="AZ128" s="1" t="s">
        <v>51</v>
      </c>
    </row>
    <row r="129" spans="1:52" ht="30" customHeight="1" x14ac:dyDescent="0.3">
      <c r="A129" s="19" t="s">
        <v>291</v>
      </c>
      <c r="B129" s="19" t="s">
        <v>292</v>
      </c>
      <c r="C129" s="19" t="s">
        <v>229</v>
      </c>
      <c r="D129" s="20">
        <v>1</v>
      </c>
      <c r="E129" s="22">
        <f>TRUNC(SUMIF(V127:V131, RIGHTB(O129, 1), F127:F131)*U129, 2)</f>
        <v>56.62</v>
      </c>
      <c r="F129" s="25">
        <f>TRUNC(E129*D129,1)</f>
        <v>56.6</v>
      </c>
      <c r="G129" s="22">
        <v>0</v>
      </c>
      <c r="H129" s="25">
        <f>TRUNC(G129*D129,1)</f>
        <v>0</v>
      </c>
      <c r="I129" s="22">
        <v>0</v>
      </c>
      <c r="J129" s="25">
        <f>TRUNC(I129*D129,1)</f>
        <v>0</v>
      </c>
      <c r="K129" s="22">
        <f t="shared" si="42"/>
        <v>56.6</v>
      </c>
      <c r="L129" s="25">
        <f t="shared" si="42"/>
        <v>56.6</v>
      </c>
      <c r="M129" s="19" t="s">
        <v>51</v>
      </c>
      <c r="N129" s="1" t="s">
        <v>142</v>
      </c>
      <c r="O129" s="1" t="s">
        <v>234</v>
      </c>
      <c r="P129" s="1" t="s">
        <v>62</v>
      </c>
      <c r="Q129" s="1" t="s">
        <v>62</v>
      </c>
      <c r="R129" s="1" t="s">
        <v>62</v>
      </c>
      <c r="S129">
        <v>0</v>
      </c>
      <c r="T129">
        <v>0</v>
      </c>
      <c r="U129">
        <v>0.02</v>
      </c>
      <c r="AV129" s="1" t="s">
        <v>51</v>
      </c>
      <c r="AW129" s="1" t="s">
        <v>456</v>
      </c>
      <c r="AX129" s="1" t="s">
        <v>51</v>
      </c>
      <c r="AY129" s="1" t="s">
        <v>51</v>
      </c>
      <c r="AZ129" s="1" t="s">
        <v>51</v>
      </c>
    </row>
    <row r="130" spans="1:52" ht="30" customHeight="1" x14ac:dyDescent="0.3">
      <c r="A130" s="19" t="s">
        <v>397</v>
      </c>
      <c r="B130" s="19" t="s">
        <v>296</v>
      </c>
      <c r="C130" s="19" t="s">
        <v>297</v>
      </c>
      <c r="D130" s="20">
        <f>공량산출근거서!K60</f>
        <v>2.4E-2</v>
      </c>
      <c r="E130" s="22">
        <f>단가대비표!O65</f>
        <v>0</v>
      </c>
      <c r="F130" s="25">
        <f>TRUNC(E130*D130,1)</f>
        <v>0</v>
      </c>
      <c r="G130" s="22">
        <f>단가대비표!P65</f>
        <v>436224</v>
      </c>
      <c r="H130" s="25">
        <f>TRUNC(G130*D130,1)</f>
        <v>10469.299999999999</v>
      </c>
      <c r="I130" s="22">
        <f>단가대비표!V65</f>
        <v>0</v>
      </c>
      <c r="J130" s="25">
        <f>TRUNC(I130*D130,1)</f>
        <v>0</v>
      </c>
      <c r="K130" s="22">
        <f t="shared" si="42"/>
        <v>436224</v>
      </c>
      <c r="L130" s="25">
        <f t="shared" si="42"/>
        <v>10469.299999999999</v>
      </c>
      <c r="M130" s="19" t="s">
        <v>51</v>
      </c>
      <c r="N130" s="1" t="s">
        <v>142</v>
      </c>
      <c r="O130" s="1" t="s">
        <v>398</v>
      </c>
      <c r="P130" s="1" t="s">
        <v>62</v>
      </c>
      <c r="Q130" s="1" t="s">
        <v>62</v>
      </c>
      <c r="R130" s="1" t="s">
        <v>61</v>
      </c>
      <c r="W130">
        <v>2</v>
      </c>
      <c r="AV130" s="1" t="s">
        <v>51</v>
      </c>
      <c r="AW130" s="1" t="s">
        <v>457</v>
      </c>
      <c r="AX130" s="1" t="s">
        <v>51</v>
      </c>
      <c r="AY130" s="1" t="s">
        <v>51</v>
      </c>
      <c r="AZ130" s="1" t="s">
        <v>51</v>
      </c>
    </row>
    <row r="131" spans="1:52" ht="30" customHeight="1" x14ac:dyDescent="0.3">
      <c r="A131" s="19" t="s">
        <v>280</v>
      </c>
      <c r="B131" s="19" t="s">
        <v>381</v>
      </c>
      <c r="C131" s="19" t="s">
        <v>229</v>
      </c>
      <c r="D131" s="20">
        <v>1</v>
      </c>
      <c r="E131" s="22">
        <f>TRUNC(SUMIF(W127:W131, RIGHTB(O131, 1), H127:H131)*U131, 2)</f>
        <v>314.07</v>
      </c>
      <c r="F131" s="25">
        <f>TRUNC(E131*D131,1)</f>
        <v>314</v>
      </c>
      <c r="G131" s="22">
        <v>0</v>
      </c>
      <c r="H131" s="25">
        <f>TRUNC(G131*D131,1)</f>
        <v>0</v>
      </c>
      <c r="I131" s="22">
        <v>0</v>
      </c>
      <c r="J131" s="25">
        <f>TRUNC(I131*D131,1)</f>
        <v>0</v>
      </c>
      <c r="K131" s="22">
        <f t="shared" si="42"/>
        <v>314</v>
      </c>
      <c r="L131" s="25">
        <f t="shared" si="42"/>
        <v>314</v>
      </c>
      <c r="M131" s="19" t="s">
        <v>51</v>
      </c>
      <c r="N131" s="1" t="s">
        <v>142</v>
      </c>
      <c r="O131" s="1" t="s">
        <v>293</v>
      </c>
      <c r="P131" s="1" t="s">
        <v>62</v>
      </c>
      <c r="Q131" s="1" t="s">
        <v>62</v>
      </c>
      <c r="R131" s="1" t="s">
        <v>62</v>
      </c>
      <c r="S131">
        <v>1</v>
      </c>
      <c r="T131">
        <v>0</v>
      </c>
      <c r="U131">
        <v>0.03</v>
      </c>
      <c r="AV131" s="1" t="s">
        <v>51</v>
      </c>
      <c r="AW131" s="1" t="s">
        <v>458</v>
      </c>
      <c r="AX131" s="1" t="s">
        <v>51</v>
      </c>
      <c r="AY131" s="1" t="s">
        <v>51</v>
      </c>
      <c r="AZ131" s="1" t="s">
        <v>51</v>
      </c>
    </row>
    <row r="132" spans="1:52" ht="30" customHeight="1" x14ac:dyDescent="0.3">
      <c r="A132" s="19" t="s">
        <v>283</v>
      </c>
      <c r="B132" s="19" t="s">
        <v>51</v>
      </c>
      <c r="C132" s="19" t="s">
        <v>51</v>
      </c>
      <c r="D132" s="20"/>
      <c r="E132" s="22"/>
      <c r="F132" s="25">
        <f>TRUNC(SUMIF(N127:N131, N126, F127:F131),0)</f>
        <v>3484</v>
      </c>
      <c r="G132" s="22"/>
      <c r="H132" s="25">
        <f>TRUNC(SUMIF(N127:N131, N126, H127:H131),0)</f>
        <v>10469</v>
      </c>
      <c r="I132" s="22"/>
      <c r="J132" s="25">
        <f>TRUNC(SUMIF(N127:N131, N126, J127:J131),0)</f>
        <v>0</v>
      </c>
      <c r="K132" s="22"/>
      <c r="L132" s="25">
        <f>F132+H132+J132</f>
        <v>13953</v>
      </c>
      <c r="M132" s="19" t="s">
        <v>51</v>
      </c>
      <c r="N132" s="1" t="s">
        <v>83</v>
      </c>
      <c r="O132" s="1" t="s">
        <v>83</v>
      </c>
      <c r="P132" s="1" t="s">
        <v>51</v>
      </c>
      <c r="Q132" s="1" t="s">
        <v>51</v>
      </c>
      <c r="R132" s="1" t="s">
        <v>51</v>
      </c>
      <c r="AV132" s="1" t="s">
        <v>51</v>
      </c>
      <c r="AW132" s="1" t="s">
        <v>51</v>
      </c>
      <c r="AX132" s="1" t="s">
        <v>51</v>
      </c>
      <c r="AY132" s="1" t="s">
        <v>51</v>
      </c>
      <c r="AZ132" s="1" t="s">
        <v>51</v>
      </c>
    </row>
    <row r="133" spans="1:52" ht="30" customHeight="1" x14ac:dyDescent="0.3">
      <c r="A133" s="20"/>
      <c r="B133" s="20"/>
      <c r="C133" s="20"/>
      <c r="D133" s="20"/>
      <c r="E133" s="22"/>
      <c r="F133" s="25"/>
      <c r="G133" s="22"/>
      <c r="H133" s="25"/>
      <c r="I133" s="22"/>
      <c r="J133" s="25"/>
      <c r="K133" s="22"/>
      <c r="L133" s="25"/>
      <c r="M133" s="20"/>
    </row>
    <row r="134" spans="1:52" ht="30" customHeight="1" x14ac:dyDescent="0.3">
      <c r="A134" s="16" t="s">
        <v>459</v>
      </c>
      <c r="B134" s="17"/>
      <c r="C134" s="17"/>
      <c r="D134" s="17"/>
      <c r="E134" s="21"/>
      <c r="F134" s="24"/>
      <c r="G134" s="21"/>
      <c r="H134" s="24"/>
      <c r="I134" s="21"/>
      <c r="J134" s="24"/>
      <c r="K134" s="21"/>
      <c r="L134" s="24"/>
      <c r="M134" s="18"/>
      <c r="N134" s="1" t="s">
        <v>146</v>
      </c>
    </row>
    <row r="135" spans="1:52" ht="30" customHeight="1" x14ac:dyDescent="0.3">
      <c r="A135" s="19" t="s">
        <v>392</v>
      </c>
      <c r="B135" s="19" t="s">
        <v>460</v>
      </c>
      <c r="C135" s="19" t="s">
        <v>66</v>
      </c>
      <c r="D135" s="20">
        <v>1</v>
      </c>
      <c r="E135" s="22">
        <f>단가대비표!O12</f>
        <v>570</v>
      </c>
      <c r="F135" s="25">
        <f>TRUNC(E135*D135,1)</f>
        <v>570</v>
      </c>
      <c r="G135" s="22">
        <f>단가대비표!P12</f>
        <v>0</v>
      </c>
      <c r="H135" s="25">
        <f>TRUNC(G135*D135,1)</f>
        <v>0</v>
      </c>
      <c r="I135" s="22">
        <f>단가대비표!V12</f>
        <v>0</v>
      </c>
      <c r="J135" s="25">
        <f>TRUNC(I135*D135,1)</f>
        <v>0</v>
      </c>
      <c r="K135" s="22">
        <f t="shared" ref="K135:L138" si="43">TRUNC(E135+G135+I135,1)</f>
        <v>570</v>
      </c>
      <c r="L135" s="25">
        <f t="shared" si="43"/>
        <v>570</v>
      </c>
      <c r="M135" s="19" t="s">
        <v>51</v>
      </c>
      <c r="N135" s="1" t="s">
        <v>146</v>
      </c>
      <c r="O135" s="1" t="s">
        <v>461</v>
      </c>
      <c r="P135" s="1" t="s">
        <v>62</v>
      </c>
      <c r="Q135" s="1" t="s">
        <v>62</v>
      </c>
      <c r="R135" s="1" t="s">
        <v>61</v>
      </c>
      <c r="V135">
        <v>1</v>
      </c>
      <c r="AV135" s="1" t="s">
        <v>51</v>
      </c>
      <c r="AW135" s="1" t="s">
        <v>462</v>
      </c>
      <c r="AX135" s="1" t="s">
        <v>51</v>
      </c>
      <c r="AY135" s="1" t="s">
        <v>51</v>
      </c>
      <c r="AZ135" s="1" t="s">
        <v>51</v>
      </c>
    </row>
    <row r="136" spans="1:52" ht="30" customHeight="1" x14ac:dyDescent="0.3">
      <c r="A136" s="19" t="s">
        <v>392</v>
      </c>
      <c r="B136" s="19" t="s">
        <v>460</v>
      </c>
      <c r="C136" s="19" t="s">
        <v>66</v>
      </c>
      <c r="D136" s="20">
        <v>7.4999999999999997E-2</v>
      </c>
      <c r="E136" s="22">
        <f>단가대비표!O12</f>
        <v>570</v>
      </c>
      <c r="F136" s="25">
        <f>TRUNC(E136*D136,1)</f>
        <v>42.7</v>
      </c>
      <c r="G136" s="22">
        <f>단가대비표!P12</f>
        <v>0</v>
      </c>
      <c r="H136" s="25">
        <f>TRUNC(G136*D136,1)</f>
        <v>0</v>
      </c>
      <c r="I136" s="22">
        <f>단가대비표!V12</f>
        <v>0</v>
      </c>
      <c r="J136" s="25">
        <f>TRUNC(I136*D136,1)</f>
        <v>0</v>
      </c>
      <c r="K136" s="22">
        <f t="shared" si="43"/>
        <v>570</v>
      </c>
      <c r="L136" s="25">
        <f t="shared" si="43"/>
        <v>42.7</v>
      </c>
      <c r="M136" s="19" t="s">
        <v>51</v>
      </c>
      <c r="N136" s="1" t="s">
        <v>146</v>
      </c>
      <c r="O136" s="1" t="s">
        <v>461</v>
      </c>
      <c r="P136" s="1" t="s">
        <v>62</v>
      </c>
      <c r="Q136" s="1" t="s">
        <v>62</v>
      </c>
      <c r="R136" s="1" t="s">
        <v>61</v>
      </c>
      <c r="AV136" s="1" t="s">
        <v>51</v>
      </c>
      <c r="AW136" s="1" t="s">
        <v>462</v>
      </c>
      <c r="AX136" s="1" t="s">
        <v>51</v>
      </c>
      <c r="AY136" s="1" t="s">
        <v>51</v>
      </c>
      <c r="AZ136" s="1" t="s">
        <v>51</v>
      </c>
    </row>
    <row r="137" spans="1:52" ht="30" customHeight="1" x14ac:dyDescent="0.3">
      <c r="A137" s="19" t="s">
        <v>291</v>
      </c>
      <c r="B137" s="19" t="s">
        <v>292</v>
      </c>
      <c r="C137" s="19" t="s">
        <v>229</v>
      </c>
      <c r="D137" s="20">
        <v>1</v>
      </c>
      <c r="E137" s="22">
        <f>TRUNC(SUMIF(V135:V138, RIGHTB(O137, 1), F135:F138)*U137, 2)</f>
        <v>11.4</v>
      </c>
      <c r="F137" s="25">
        <f>TRUNC(E137*D137,1)</f>
        <v>11.4</v>
      </c>
      <c r="G137" s="22">
        <v>0</v>
      </c>
      <c r="H137" s="25">
        <f>TRUNC(G137*D137,1)</f>
        <v>0</v>
      </c>
      <c r="I137" s="22">
        <v>0</v>
      </c>
      <c r="J137" s="25">
        <f>TRUNC(I137*D137,1)</f>
        <v>0</v>
      </c>
      <c r="K137" s="22">
        <f t="shared" si="43"/>
        <v>11.4</v>
      </c>
      <c r="L137" s="25">
        <f t="shared" si="43"/>
        <v>11.4</v>
      </c>
      <c r="M137" s="19" t="s">
        <v>51</v>
      </c>
      <c r="N137" s="1" t="s">
        <v>146</v>
      </c>
      <c r="O137" s="1" t="s">
        <v>234</v>
      </c>
      <c r="P137" s="1" t="s">
        <v>62</v>
      </c>
      <c r="Q137" s="1" t="s">
        <v>62</v>
      </c>
      <c r="R137" s="1" t="s">
        <v>62</v>
      </c>
      <c r="S137">
        <v>0</v>
      </c>
      <c r="T137">
        <v>0</v>
      </c>
      <c r="U137">
        <v>0.02</v>
      </c>
      <c r="AV137" s="1" t="s">
        <v>51</v>
      </c>
      <c r="AW137" s="1" t="s">
        <v>463</v>
      </c>
      <c r="AX137" s="1" t="s">
        <v>51</v>
      </c>
      <c r="AY137" s="1" t="s">
        <v>51</v>
      </c>
      <c r="AZ137" s="1" t="s">
        <v>51</v>
      </c>
    </row>
    <row r="138" spans="1:52" ht="30" customHeight="1" x14ac:dyDescent="0.3">
      <c r="A138" s="19" t="s">
        <v>397</v>
      </c>
      <c r="B138" s="19" t="s">
        <v>296</v>
      </c>
      <c r="C138" s="19" t="s">
        <v>297</v>
      </c>
      <c r="D138" s="20">
        <f>공량산출근거서!K63</f>
        <v>1.4999999999999999E-2</v>
      </c>
      <c r="E138" s="22">
        <f>단가대비표!O65</f>
        <v>0</v>
      </c>
      <c r="F138" s="25">
        <f>TRUNC(E138*D138,1)</f>
        <v>0</v>
      </c>
      <c r="G138" s="22">
        <f>단가대비표!P65</f>
        <v>436224</v>
      </c>
      <c r="H138" s="25">
        <f>TRUNC(G138*D138,1)</f>
        <v>6543.3</v>
      </c>
      <c r="I138" s="22">
        <f>단가대비표!V65</f>
        <v>0</v>
      </c>
      <c r="J138" s="25">
        <f>TRUNC(I138*D138,1)</f>
        <v>0</v>
      </c>
      <c r="K138" s="22">
        <f t="shared" si="43"/>
        <v>436224</v>
      </c>
      <c r="L138" s="25">
        <f t="shared" si="43"/>
        <v>6543.3</v>
      </c>
      <c r="M138" s="19" t="s">
        <v>51</v>
      </c>
      <c r="N138" s="1" t="s">
        <v>146</v>
      </c>
      <c r="O138" s="1" t="s">
        <v>398</v>
      </c>
      <c r="P138" s="1" t="s">
        <v>62</v>
      </c>
      <c r="Q138" s="1" t="s">
        <v>62</v>
      </c>
      <c r="R138" s="1" t="s">
        <v>61</v>
      </c>
      <c r="AV138" s="1" t="s">
        <v>51</v>
      </c>
      <c r="AW138" s="1" t="s">
        <v>464</v>
      </c>
      <c r="AX138" s="1" t="s">
        <v>51</v>
      </c>
      <c r="AY138" s="1" t="s">
        <v>51</v>
      </c>
      <c r="AZ138" s="1" t="s">
        <v>51</v>
      </c>
    </row>
    <row r="139" spans="1:52" ht="30" customHeight="1" x14ac:dyDescent="0.3">
      <c r="A139" s="19" t="s">
        <v>283</v>
      </c>
      <c r="B139" s="19" t="s">
        <v>51</v>
      </c>
      <c r="C139" s="19" t="s">
        <v>51</v>
      </c>
      <c r="D139" s="20"/>
      <c r="E139" s="22"/>
      <c r="F139" s="25">
        <f>TRUNC(SUMIF(N135:N138, N134, F135:F138),0)</f>
        <v>624</v>
      </c>
      <c r="G139" s="22"/>
      <c r="H139" s="25">
        <f>TRUNC(SUMIF(N135:N138, N134, H135:H138),0)</f>
        <v>6543</v>
      </c>
      <c r="I139" s="22"/>
      <c r="J139" s="25">
        <f>TRUNC(SUMIF(N135:N138, N134, J135:J138),0)</f>
        <v>0</v>
      </c>
      <c r="K139" s="22"/>
      <c r="L139" s="25">
        <f>F139+H139+J139</f>
        <v>7167</v>
      </c>
      <c r="M139" s="19" t="s">
        <v>51</v>
      </c>
      <c r="N139" s="1" t="s">
        <v>83</v>
      </c>
      <c r="O139" s="1" t="s">
        <v>83</v>
      </c>
      <c r="P139" s="1" t="s">
        <v>51</v>
      </c>
      <c r="Q139" s="1" t="s">
        <v>51</v>
      </c>
      <c r="R139" s="1" t="s">
        <v>51</v>
      </c>
      <c r="AV139" s="1" t="s">
        <v>51</v>
      </c>
      <c r="AW139" s="1" t="s">
        <v>51</v>
      </c>
      <c r="AX139" s="1" t="s">
        <v>51</v>
      </c>
      <c r="AY139" s="1" t="s">
        <v>51</v>
      </c>
      <c r="AZ139" s="1" t="s">
        <v>51</v>
      </c>
    </row>
    <row r="140" spans="1:52" ht="30" customHeight="1" x14ac:dyDescent="0.3">
      <c r="A140" s="20"/>
      <c r="B140" s="20"/>
      <c r="C140" s="20"/>
      <c r="D140" s="20"/>
      <c r="E140" s="22"/>
      <c r="F140" s="25"/>
      <c r="G140" s="22"/>
      <c r="H140" s="25"/>
      <c r="I140" s="22"/>
      <c r="J140" s="25"/>
      <c r="K140" s="22"/>
      <c r="L140" s="25"/>
      <c r="M140" s="20"/>
    </row>
    <row r="141" spans="1:52" ht="30" customHeight="1" x14ac:dyDescent="0.3">
      <c r="A141" s="16" t="s">
        <v>465</v>
      </c>
      <c r="B141" s="17"/>
      <c r="C141" s="17"/>
      <c r="D141" s="17"/>
      <c r="E141" s="21"/>
      <c r="F141" s="24"/>
      <c r="G141" s="21"/>
      <c r="H141" s="24"/>
      <c r="I141" s="21"/>
      <c r="J141" s="24"/>
      <c r="K141" s="21"/>
      <c r="L141" s="24"/>
      <c r="M141" s="18"/>
      <c r="N141" s="1" t="s">
        <v>150</v>
      </c>
    </row>
    <row r="142" spans="1:52" ht="30" customHeight="1" x14ac:dyDescent="0.3">
      <c r="A142" s="19" t="s">
        <v>392</v>
      </c>
      <c r="B142" s="19" t="s">
        <v>466</v>
      </c>
      <c r="C142" s="19" t="s">
        <v>66</v>
      </c>
      <c r="D142" s="20">
        <v>1</v>
      </c>
      <c r="E142" s="22">
        <f>단가대비표!O13</f>
        <v>570</v>
      </c>
      <c r="F142" s="25">
        <f>TRUNC(E142*D142,1)</f>
        <v>570</v>
      </c>
      <c r="G142" s="22">
        <f>단가대비표!P13</f>
        <v>0</v>
      </c>
      <c r="H142" s="25">
        <f>TRUNC(G142*D142,1)</f>
        <v>0</v>
      </c>
      <c r="I142" s="22">
        <f>단가대비표!V13</f>
        <v>0</v>
      </c>
      <c r="J142" s="25">
        <f>TRUNC(I142*D142,1)</f>
        <v>0</v>
      </c>
      <c r="K142" s="22">
        <f t="shared" ref="K142:L145" si="44">TRUNC(E142+G142+I142,1)</f>
        <v>570</v>
      </c>
      <c r="L142" s="25">
        <f t="shared" si="44"/>
        <v>570</v>
      </c>
      <c r="M142" s="19" t="s">
        <v>51</v>
      </c>
      <c r="N142" s="1" t="s">
        <v>150</v>
      </c>
      <c r="O142" s="1" t="s">
        <v>467</v>
      </c>
      <c r="P142" s="1" t="s">
        <v>62</v>
      </c>
      <c r="Q142" s="1" t="s">
        <v>62</v>
      </c>
      <c r="R142" s="1" t="s">
        <v>61</v>
      </c>
      <c r="V142">
        <v>1</v>
      </c>
      <c r="AV142" s="1" t="s">
        <v>51</v>
      </c>
      <c r="AW142" s="1" t="s">
        <v>468</v>
      </c>
      <c r="AX142" s="1" t="s">
        <v>51</v>
      </c>
      <c r="AY142" s="1" t="s">
        <v>51</v>
      </c>
      <c r="AZ142" s="1" t="s">
        <v>51</v>
      </c>
    </row>
    <row r="143" spans="1:52" ht="30" customHeight="1" x14ac:dyDescent="0.3">
      <c r="A143" s="19" t="s">
        <v>392</v>
      </c>
      <c r="B143" s="19" t="s">
        <v>466</v>
      </c>
      <c r="C143" s="19" t="s">
        <v>66</v>
      </c>
      <c r="D143" s="20">
        <v>0.1</v>
      </c>
      <c r="E143" s="22">
        <f>단가대비표!O13</f>
        <v>570</v>
      </c>
      <c r="F143" s="25">
        <f>TRUNC(E143*D143,1)</f>
        <v>57</v>
      </c>
      <c r="G143" s="22">
        <f>단가대비표!P13</f>
        <v>0</v>
      </c>
      <c r="H143" s="25">
        <f>TRUNC(G143*D143,1)</f>
        <v>0</v>
      </c>
      <c r="I143" s="22">
        <f>단가대비표!V13</f>
        <v>0</v>
      </c>
      <c r="J143" s="25">
        <f>TRUNC(I143*D143,1)</f>
        <v>0</v>
      </c>
      <c r="K143" s="22">
        <f t="shared" si="44"/>
        <v>570</v>
      </c>
      <c r="L143" s="25">
        <f t="shared" si="44"/>
        <v>57</v>
      </c>
      <c r="M143" s="19" t="s">
        <v>51</v>
      </c>
      <c r="N143" s="1" t="s">
        <v>150</v>
      </c>
      <c r="O143" s="1" t="s">
        <v>467</v>
      </c>
      <c r="P143" s="1" t="s">
        <v>62</v>
      </c>
      <c r="Q143" s="1" t="s">
        <v>62</v>
      </c>
      <c r="R143" s="1" t="s">
        <v>61</v>
      </c>
      <c r="AV143" s="1" t="s">
        <v>51</v>
      </c>
      <c r="AW143" s="1" t="s">
        <v>468</v>
      </c>
      <c r="AX143" s="1" t="s">
        <v>51</v>
      </c>
      <c r="AY143" s="1" t="s">
        <v>51</v>
      </c>
      <c r="AZ143" s="1" t="s">
        <v>51</v>
      </c>
    </row>
    <row r="144" spans="1:52" ht="30" customHeight="1" x14ac:dyDescent="0.3">
      <c r="A144" s="19" t="s">
        <v>291</v>
      </c>
      <c r="B144" s="19" t="s">
        <v>292</v>
      </c>
      <c r="C144" s="19" t="s">
        <v>229</v>
      </c>
      <c r="D144" s="20">
        <v>1</v>
      </c>
      <c r="E144" s="22">
        <f>TRUNC(SUMIF(V142:V145, RIGHTB(O144, 1), F142:F145)*U144, 2)</f>
        <v>11.4</v>
      </c>
      <c r="F144" s="25">
        <f>TRUNC(E144*D144,1)</f>
        <v>11.4</v>
      </c>
      <c r="G144" s="22">
        <v>0</v>
      </c>
      <c r="H144" s="25">
        <f>TRUNC(G144*D144,1)</f>
        <v>0</v>
      </c>
      <c r="I144" s="22">
        <v>0</v>
      </c>
      <c r="J144" s="25">
        <f>TRUNC(I144*D144,1)</f>
        <v>0</v>
      </c>
      <c r="K144" s="22">
        <f t="shared" si="44"/>
        <v>11.4</v>
      </c>
      <c r="L144" s="25">
        <f t="shared" si="44"/>
        <v>11.4</v>
      </c>
      <c r="M144" s="19" t="s">
        <v>51</v>
      </c>
      <c r="N144" s="1" t="s">
        <v>150</v>
      </c>
      <c r="O144" s="1" t="s">
        <v>234</v>
      </c>
      <c r="P144" s="1" t="s">
        <v>62</v>
      </c>
      <c r="Q144" s="1" t="s">
        <v>62</v>
      </c>
      <c r="R144" s="1" t="s">
        <v>62</v>
      </c>
      <c r="S144">
        <v>0</v>
      </c>
      <c r="T144">
        <v>0</v>
      </c>
      <c r="U144">
        <v>0.02</v>
      </c>
      <c r="AV144" s="1" t="s">
        <v>51</v>
      </c>
      <c r="AW144" s="1" t="s">
        <v>469</v>
      </c>
      <c r="AX144" s="1" t="s">
        <v>51</v>
      </c>
      <c r="AY144" s="1" t="s">
        <v>51</v>
      </c>
      <c r="AZ144" s="1" t="s">
        <v>51</v>
      </c>
    </row>
    <row r="145" spans="1:52" ht="30" customHeight="1" x14ac:dyDescent="0.3">
      <c r="A145" s="19" t="s">
        <v>397</v>
      </c>
      <c r="B145" s="19" t="s">
        <v>296</v>
      </c>
      <c r="C145" s="19" t="s">
        <v>297</v>
      </c>
      <c r="D145" s="20">
        <f>공량산출근거서!K67</f>
        <v>1.4999999999999999E-2</v>
      </c>
      <c r="E145" s="22">
        <f>단가대비표!O65</f>
        <v>0</v>
      </c>
      <c r="F145" s="25">
        <f>TRUNC(E145*D145,1)</f>
        <v>0</v>
      </c>
      <c r="G145" s="22">
        <f>단가대비표!P65</f>
        <v>436224</v>
      </c>
      <c r="H145" s="25">
        <f>TRUNC(G145*D145,1)</f>
        <v>6543.3</v>
      </c>
      <c r="I145" s="22">
        <f>단가대비표!V65</f>
        <v>0</v>
      </c>
      <c r="J145" s="25">
        <f>TRUNC(I145*D145,1)</f>
        <v>0</v>
      </c>
      <c r="K145" s="22">
        <f t="shared" si="44"/>
        <v>436224</v>
      </c>
      <c r="L145" s="25">
        <f t="shared" si="44"/>
        <v>6543.3</v>
      </c>
      <c r="M145" s="19" t="s">
        <v>51</v>
      </c>
      <c r="N145" s="1" t="s">
        <v>150</v>
      </c>
      <c r="O145" s="1" t="s">
        <v>398</v>
      </c>
      <c r="P145" s="1" t="s">
        <v>62</v>
      </c>
      <c r="Q145" s="1" t="s">
        <v>62</v>
      </c>
      <c r="R145" s="1" t="s">
        <v>61</v>
      </c>
      <c r="AV145" s="1" t="s">
        <v>51</v>
      </c>
      <c r="AW145" s="1" t="s">
        <v>470</v>
      </c>
      <c r="AX145" s="1" t="s">
        <v>51</v>
      </c>
      <c r="AY145" s="1" t="s">
        <v>51</v>
      </c>
      <c r="AZ145" s="1" t="s">
        <v>51</v>
      </c>
    </row>
    <row r="146" spans="1:52" ht="30" customHeight="1" x14ac:dyDescent="0.3">
      <c r="A146" s="19" t="s">
        <v>283</v>
      </c>
      <c r="B146" s="19" t="s">
        <v>51</v>
      </c>
      <c r="C146" s="19" t="s">
        <v>51</v>
      </c>
      <c r="D146" s="20"/>
      <c r="E146" s="22"/>
      <c r="F146" s="25">
        <f>TRUNC(SUMIF(N142:N145, N141, F142:F145),0)</f>
        <v>638</v>
      </c>
      <c r="G146" s="22"/>
      <c r="H146" s="25">
        <f>TRUNC(SUMIF(N142:N145, N141, H142:H145),0)</f>
        <v>6543</v>
      </c>
      <c r="I146" s="22"/>
      <c r="J146" s="25">
        <f>TRUNC(SUMIF(N142:N145, N141, J142:J145),0)</f>
        <v>0</v>
      </c>
      <c r="K146" s="22"/>
      <c r="L146" s="25">
        <f>F146+H146+J146</f>
        <v>7181</v>
      </c>
      <c r="M146" s="19" t="s">
        <v>51</v>
      </c>
      <c r="N146" s="1" t="s">
        <v>83</v>
      </c>
      <c r="O146" s="1" t="s">
        <v>83</v>
      </c>
      <c r="P146" s="1" t="s">
        <v>51</v>
      </c>
      <c r="Q146" s="1" t="s">
        <v>51</v>
      </c>
      <c r="R146" s="1" t="s">
        <v>51</v>
      </c>
      <c r="AV146" s="1" t="s">
        <v>51</v>
      </c>
      <c r="AW146" s="1" t="s">
        <v>51</v>
      </c>
      <c r="AX146" s="1" t="s">
        <v>51</v>
      </c>
      <c r="AY146" s="1" t="s">
        <v>51</v>
      </c>
      <c r="AZ146" s="1" t="s">
        <v>51</v>
      </c>
    </row>
    <row r="147" spans="1:52" ht="30" customHeight="1" x14ac:dyDescent="0.3">
      <c r="A147" s="20"/>
      <c r="B147" s="20"/>
      <c r="C147" s="20"/>
      <c r="D147" s="20"/>
      <c r="E147" s="22"/>
      <c r="F147" s="25"/>
      <c r="G147" s="22"/>
      <c r="H147" s="25"/>
      <c r="I147" s="22"/>
      <c r="J147" s="25"/>
      <c r="K147" s="22"/>
      <c r="L147" s="25"/>
      <c r="M147" s="20"/>
    </row>
    <row r="148" spans="1:52" ht="30" customHeight="1" x14ac:dyDescent="0.3">
      <c r="A148" s="16" t="s">
        <v>471</v>
      </c>
      <c r="B148" s="17"/>
      <c r="C148" s="17"/>
      <c r="D148" s="17"/>
      <c r="E148" s="21"/>
      <c r="F148" s="24"/>
      <c r="G148" s="21"/>
      <c r="H148" s="24"/>
      <c r="I148" s="21"/>
      <c r="J148" s="24"/>
      <c r="K148" s="21"/>
      <c r="L148" s="24"/>
      <c r="M148" s="18"/>
      <c r="N148" s="1" t="s">
        <v>154</v>
      </c>
    </row>
    <row r="149" spans="1:52" ht="30" customHeight="1" x14ac:dyDescent="0.3">
      <c r="A149" s="19" t="s">
        <v>392</v>
      </c>
      <c r="B149" s="19" t="s">
        <v>472</v>
      </c>
      <c r="C149" s="19" t="s">
        <v>66</v>
      </c>
      <c r="D149" s="20">
        <v>1</v>
      </c>
      <c r="E149" s="22">
        <f>단가대비표!O14</f>
        <v>570</v>
      </c>
      <c r="F149" s="25">
        <f>TRUNC(E149*D149,1)</f>
        <v>570</v>
      </c>
      <c r="G149" s="22">
        <f>단가대비표!P14</f>
        <v>0</v>
      </c>
      <c r="H149" s="25">
        <f>TRUNC(G149*D149,1)</f>
        <v>0</v>
      </c>
      <c r="I149" s="22">
        <f>단가대비표!V14</f>
        <v>0</v>
      </c>
      <c r="J149" s="25">
        <f>TRUNC(I149*D149,1)</f>
        <v>0</v>
      </c>
      <c r="K149" s="22">
        <f t="shared" ref="K149:L152" si="45">TRUNC(E149+G149+I149,1)</f>
        <v>570</v>
      </c>
      <c r="L149" s="25">
        <f t="shared" si="45"/>
        <v>570</v>
      </c>
      <c r="M149" s="19" t="s">
        <v>51</v>
      </c>
      <c r="N149" s="1" t="s">
        <v>154</v>
      </c>
      <c r="O149" s="1" t="s">
        <v>473</v>
      </c>
      <c r="P149" s="1" t="s">
        <v>62</v>
      </c>
      <c r="Q149" s="1" t="s">
        <v>62</v>
      </c>
      <c r="R149" s="1" t="s">
        <v>61</v>
      </c>
      <c r="V149">
        <v>1</v>
      </c>
      <c r="AV149" s="1" t="s">
        <v>51</v>
      </c>
      <c r="AW149" s="1" t="s">
        <v>474</v>
      </c>
      <c r="AX149" s="1" t="s">
        <v>51</v>
      </c>
      <c r="AY149" s="1" t="s">
        <v>51</v>
      </c>
      <c r="AZ149" s="1" t="s">
        <v>51</v>
      </c>
    </row>
    <row r="150" spans="1:52" ht="30" customHeight="1" x14ac:dyDescent="0.3">
      <c r="A150" s="19" t="s">
        <v>392</v>
      </c>
      <c r="B150" s="19" t="s">
        <v>472</v>
      </c>
      <c r="C150" s="19" t="s">
        <v>66</v>
      </c>
      <c r="D150" s="20">
        <v>0.1</v>
      </c>
      <c r="E150" s="22">
        <f>단가대비표!O14</f>
        <v>570</v>
      </c>
      <c r="F150" s="25">
        <f>TRUNC(E150*D150,1)</f>
        <v>57</v>
      </c>
      <c r="G150" s="22">
        <f>단가대비표!P14</f>
        <v>0</v>
      </c>
      <c r="H150" s="25">
        <f>TRUNC(G150*D150,1)</f>
        <v>0</v>
      </c>
      <c r="I150" s="22">
        <f>단가대비표!V14</f>
        <v>0</v>
      </c>
      <c r="J150" s="25">
        <f>TRUNC(I150*D150,1)</f>
        <v>0</v>
      </c>
      <c r="K150" s="22">
        <f t="shared" si="45"/>
        <v>570</v>
      </c>
      <c r="L150" s="25">
        <f t="shared" si="45"/>
        <v>57</v>
      </c>
      <c r="M150" s="19" t="s">
        <v>51</v>
      </c>
      <c r="N150" s="1" t="s">
        <v>154</v>
      </c>
      <c r="O150" s="1" t="s">
        <v>473</v>
      </c>
      <c r="P150" s="1" t="s">
        <v>62</v>
      </c>
      <c r="Q150" s="1" t="s">
        <v>62</v>
      </c>
      <c r="R150" s="1" t="s">
        <v>61</v>
      </c>
      <c r="AV150" s="1" t="s">
        <v>51</v>
      </c>
      <c r="AW150" s="1" t="s">
        <v>474</v>
      </c>
      <c r="AX150" s="1" t="s">
        <v>51</v>
      </c>
      <c r="AY150" s="1" t="s">
        <v>51</v>
      </c>
      <c r="AZ150" s="1" t="s">
        <v>51</v>
      </c>
    </row>
    <row r="151" spans="1:52" ht="30" customHeight="1" x14ac:dyDescent="0.3">
      <c r="A151" s="19" t="s">
        <v>291</v>
      </c>
      <c r="B151" s="19" t="s">
        <v>292</v>
      </c>
      <c r="C151" s="19" t="s">
        <v>229</v>
      </c>
      <c r="D151" s="20">
        <v>1</v>
      </c>
      <c r="E151" s="22">
        <f>TRUNC(SUMIF(V149:V152, RIGHTB(O151, 1), F149:F152)*U151, 2)</f>
        <v>11.4</v>
      </c>
      <c r="F151" s="25">
        <f>TRUNC(E151*D151,1)</f>
        <v>11.4</v>
      </c>
      <c r="G151" s="22">
        <v>0</v>
      </c>
      <c r="H151" s="25">
        <f>TRUNC(G151*D151,1)</f>
        <v>0</v>
      </c>
      <c r="I151" s="22">
        <v>0</v>
      </c>
      <c r="J151" s="25">
        <f>TRUNC(I151*D151,1)</f>
        <v>0</v>
      </c>
      <c r="K151" s="22">
        <f t="shared" si="45"/>
        <v>11.4</v>
      </c>
      <c r="L151" s="25">
        <f t="shared" si="45"/>
        <v>11.4</v>
      </c>
      <c r="M151" s="19" t="s">
        <v>51</v>
      </c>
      <c r="N151" s="1" t="s">
        <v>154</v>
      </c>
      <c r="O151" s="1" t="s">
        <v>234</v>
      </c>
      <c r="P151" s="1" t="s">
        <v>62</v>
      </c>
      <c r="Q151" s="1" t="s">
        <v>62</v>
      </c>
      <c r="R151" s="1" t="s">
        <v>62</v>
      </c>
      <c r="S151">
        <v>0</v>
      </c>
      <c r="T151">
        <v>0</v>
      </c>
      <c r="U151">
        <v>0.02</v>
      </c>
      <c r="AV151" s="1" t="s">
        <v>51</v>
      </c>
      <c r="AW151" s="1" t="s">
        <v>475</v>
      </c>
      <c r="AX151" s="1" t="s">
        <v>51</v>
      </c>
      <c r="AY151" s="1" t="s">
        <v>51</v>
      </c>
      <c r="AZ151" s="1" t="s">
        <v>51</v>
      </c>
    </row>
    <row r="152" spans="1:52" ht="30" customHeight="1" x14ac:dyDescent="0.3">
      <c r="A152" s="19" t="s">
        <v>397</v>
      </c>
      <c r="B152" s="19" t="s">
        <v>296</v>
      </c>
      <c r="C152" s="19" t="s">
        <v>297</v>
      </c>
      <c r="D152" s="20">
        <f>공량산출근거서!K71</f>
        <v>1.4200000000000001E-2</v>
      </c>
      <c r="E152" s="22">
        <f>단가대비표!O65</f>
        <v>0</v>
      </c>
      <c r="F152" s="25">
        <f>TRUNC(E152*D152,1)</f>
        <v>0</v>
      </c>
      <c r="G152" s="22">
        <f>단가대비표!P65</f>
        <v>436224</v>
      </c>
      <c r="H152" s="25">
        <f>TRUNC(G152*D152,1)</f>
        <v>6194.3</v>
      </c>
      <c r="I152" s="22">
        <f>단가대비표!V65</f>
        <v>0</v>
      </c>
      <c r="J152" s="25">
        <f>TRUNC(I152*D152,1)</f>
        <v>0</v>
      </c>
      <c r="K152" s="22">
        <f t="shared" si="45"/>
        <v>436224</v>
      </c>
      <c r="L152" s="25">
        <f t="shared" si="45"/>
        <v>6194.3</v>
      </c>
      <c r="M152" s="19" t="s">
        <v>51</v>
      </c>
      <c r="N152" s="1" t="s">
        <v>154</v>
      </c>
      <c r="O152" s="1" t="s">
        <v>398</v>
      </c>
      <c r="P152" s="1" t="s">
        <v>62</v>
      </c>
      <c r="Q152" s="1" t="s">
        <v>62</v>
      </c>
      <c r="R152" s="1" t="s">
        <v>61</v>
      </c>
      <c r="AV152" s="1" t="s">
        <v>51</v>
      </c>
      <c r="AW152" s="1" t="s">
        <v>476</v>
      </c>
      <c r="AX152" s="1" t="s">
        <v>51</v>
      </c>
      <c r="AY152" s="1" t="s">
        <v>51</v>
      </c>
      <c r="AZ152" s="1" t="s">
        <v>51</v>
      </c>
    </row>
    <row r="153" spans="1:52" ht="30" customHeight="1" x14ac:dyDescent="0.3">
      <c r="A153" s="19" t="s">
        <v>283</v>
      </c>
      <c r="B153" s="19" t="s">
        <v>51</v>
      </c>
      <c r="C153" s="19" t="s">
        <v>51</v>
      </c>
      <c r="D153" s="20"/>
      <c r="E153" s="22"/>
      <c r="F153" s="25">
        <f>TRUNC(SUMIF(N149:N152, N148, F149:F152),0)</f>
        <v>638</v>
      </c>
      <c r="G153" s="22"/>
      <c r="H153" s="25">
        <f>TRUNC(SUMIF(N149:N152, N148, H149:H152),0)</f>
        <v>6194</v>
      </c>
      <c r="I153" s="22"/>
      <c r="J153" s="25">
        <f>TRUNC(SUMIF(N149:N152, N148, J149:J152),0)</f>
        <v>0</v>
      </c>
      <c r="K153" s="22"/>
      <c r="L153" s="25">
        <f>F153+H153+J153</f>
        <v>6832</v>
      </c>
      <c r="M153" s="19" t="s">
        <v>51</v>
      </c>
      <c r="N153" s="1" t="s">
        <v>83</v>
      </c>
      <c r="O153" s="1" t="s">
        <v>83</v>
      </c>
      <c r="P153" s="1" t="s">
        <v>51</v>
      </c>
      <c r="Q153" s="1" t="s">
        <v>51</v>
      </c>
      <c r="R153" s="1" t="s">
        <v>51</v>
      </c>
      <c r="AV153" s="1" t="s">
        <v>51</v>
      </c>
      <c r="AW153" s="1" t="s">
        <v>51</v>
      </c>
      <c r="AX153" s="1" t="s">
        <v>51</v>
      </c>
      <c r="AY153" s="1" t="s">
        <v>51</v>
      </c>
      <c r="AZ153" s="1" t="s">
        <v>51</v>
      </c>
    </row>
    <row r="154" spans="1:52" ht="30" customHeight="1" x14ac:dyDescent="0.3">
      <c r="A154" s="20"/>
      <c r="B154" s="20"/>
      <c r="C154" s="20"/>
      <c r="D154" s="20"/>
      <c r="E154" s="22"/>
      <c r="F154" s="25"/>
      <c r="G154" s="22"/>
      <c r="H154" s="25"/>
      <c r="I154" s="22"/>
      <c r="J154" s="25"/>
      <c r="K154" s="22"/>
      <c r="L154" s="25"/>
      <c r="M154" s="20"/>
    </row>
    <row r="155" spans="1:52" ht="30" customHeight="1" x14ac:dyDescent="0.3">
      <c r="A155" s="16" t="s">
        <v>477</v>
      </c>
      <c r="B155" s="17"/>
      <c r="C155" s="17"/>
      <c r="D155" s="17"/>
      <c r="E155" s="21"/>
      <c r="F155" s="24"/>
      <c r="G155" s="21"/>
      <c r="H155" s="24"/>
      <c r="I155" s="21"/>
      <c r="J155" s="24"/>
      <c r="K155" s="21"/>
      <c r="L155" s="24"/>
      <c r="M155" s="18"/>
      <c r="N155" s="1" t="s">
        <v>158</v>
      </c>
    </row>
    <row r="156" spans="1:52" ht="30" customHeight="1" x14ac:dyDescent="0.3">
      <c r="A156" s="19" t="s">
        <v>111</v>
      </c>
      <c r="B156" s="19" t="s">
        <v>478</v>
      </c>
      <c r="C156" s="19" t="s">
        <v>66</v>
      </c>
      <c r="D156" s="20">
        <v>1</v>
      </c>
      <c r="E156" s="22">
        <f>단가대비표!O20</f>
        <v>1000</v>
      </c>
      <c r="F156" s="25">
        <f t="shared" ref="F156:F161" si="46">TRUNC(E156*D156,1)</f>
        <v>1000</v>
      </c>
      <c r="G156" s="22">
        <f>단가대비표!P20</f>
        <v>0</v>
      </c>
      <c r="H156" s="25">
        <f t="shared" ref="H156:H161" si="47">TRUNC(G156*D156,1)</f>
        <v>0</v>
      </c>
      <c r="I156" s="22">
        <f>단가대비표!V20</f>
        <v>0</v>
      </c>
      <c r="J156" s="25">
        <f t="shared" ref="J156:J161" si="48">TRUNC(I156*D156,1)</f>
        <v>0</v>
      </c>
      <c r="K156" s="22">
        <f t="shared" ref="K156:L161" si="49">TRUNC(E156+G156+I156,1)</f>
        <v>1000</v>
      </c>
      <c r="L156" s="25">
        <f t="shared" si="49"/>
        <v>1000</v>
      </c>
      <c r="M156" s="19" t="s">
        <v>51</v>
      </c>
      <c r="N156" s="1" t="s">
        <v>158</v>
      </c>
      <c r="O156" s="1" t="s">
        <v>479</v>
      </c>
      <c r="P156" s="1" t="s">
        <v>62</v>
      </c>
      <c r="Q156" s="1" t="s">
        <v>62</v>
      </c>
      <c r="R156" s="1" t="s">
        <v>61</v>
      </c>
      <c r="V156">
        <v>1</v>
      </c>
      <c r="AV156" s="1" t="s">
        <v>51</v>
      </c>
      <c r="AW156" s="1" t="s">
        <v>480</v>
      </c>
      <c r="AX156" s="1" t="s">
        <v>51</v>
      </c>
      <c r="AY156" s="1" t="s">
        <v>51</v>
      </c>
      <c r="AZ156" s="1" t="s">
        <v>51</v>
      </c>
    </row>
    <row r="157" spans="1:52" ht="30" customHeight="1" x14ac:dyDescent="0.3">
      <c r="A157" s="19" t="s">
        <v>111</v>
      </c>
      <c r="B157" s="19" t="s">
        <v>478</v>
      </c>
      <c r="C157" s="19" t="s">
        <v>66</v>
      </c>
      <c r="D157" s="20">
        <v>0.1</v>
      </c>
      <c r="E157" s="22">
        <f>단가대비표!O20</f>
        <v>1000</v>
      </c>
      <c r="F157" s="25">
        <f t="shared" si="46"/>
        <v>100</v>
      </c>
      <c r="G157" s="22">
        <f>단가대비표!P20</f>
        <v>0</v>
      </c>
      <c r="H157" s="25">
        <f t="shared" si="47"/>
        <v>0</v>
      </c>
      <c r="I157" s="22">
        <f>단가대비표!V20</f>
        <v>0</v>
      </c>
      <c r="J157" s="25">
        <f t="shared" si="48"/>
        <v>0</v>
      </c>
      <c r="K157" s="22">
        <f t="shared" si="49"/>
        <v>1000</v>
      </c>
      <c r="L157" s="25">
        <f t="shared" si="49"/>
        <v>100</v>
      </c>
      <c r="M157" s="19" t="s">
        <v>51</v>
      </c>
      <c r="N157" s="1" t="s">
        <v>158</v>
      </c>
      <c r="O157" s="1" t="s">
        <v>479</v>
      </c>
      <c r="P157" s="1" t="s">
        <v>62</v>
      </c>
      <c r="Q157" s="1" t="s">
        <v>62</v>
      </c>
      <c r="R157" s="1" t="s">
        <v>61</v>
      </c>
      <c r="AV157" s="1" t="s">
        <v>51</v>
      </c>
      <c r="AW157" s="1" t="s">
        <v>480</v>
      </c>
      <c r="AX157" s="1" t="s">
        <v>51</v>
      </c>
      <c r="AY157" s="1" t="s">
        <v>51</v>
      </c>
      <c r="AZ157" s="1" t="s">
        <v>51</v>
      </c>
    </row>
    <row r="158" spans="1:52" ht="30" customHeight="1" x14ac:dyDescent="0.3">
      <c r="A158" s="19" t="s">
        <v>291</v>
      </c>
      <c r="B158" s="19" t="s">
        <v>292</v>
      </c>
      <c r="C158" s="19" t="s">
        <v>229</v>
      </c>
      <c r="D158" s="20">
        <v>1</v>
      </c>
      <c r="E158" s="22">
        <f>TRUNC(SUMIF(V156:V161, RIGHTB(O158, 1), F156:F161)*U158, 2)</f>
        <v>20</v>
      </c>
      <c r="F158" s="25">
        <f t="shared" si="46"/>
        <v>20</v>
      </c>
      <c r="G158" s="22">
        <v>0</v>
      </c>
      <c r="H158" s="25">
        <f t="shared" si="47"/>
        <v>0</v>
      </c>
      <c r="I158" s="22">
        <v>0</v>
      </c>
      <c r="J158" s="25">
        <f t="shared" si="48"/>
        <v>0</v>
      </c>
      <c r="K158" s="22">
        <f t="shared" si="49"/>
        <v>20</v>
      </c>
      <c r="L158" s="25">
        <f t="shared" si="49"/>
        <v>20</v>
      </c>
      <c r="M158" s="19" t="s">
        <v>51</v>
      </c>
      <c r="N158" s="1" t="s">
        <v>158</v>
      </c>
      <c r="O158" s="1" t="s">
        <v>234</v>
      </c>
      <c r="P158" s="1" t="s">
        <v>62</v>
      </c>
      <c r="Q158" s="1" t="s">
        <v>62</v>
      </c>
      <c r="R158" s="1" t="s">
        <v>62</v>
      </c>
      <c r="S158">
        <v>0</v>
      </c>
      <c r="T158">
        <v>0</v>
      </c>
      <c r="U158">
        <v>0.02</v>
      </c>
      <c r="AV158" s="1" t="s">
        <v>51</v>
      </c>
      <c r="AW158" s="1" t="s">
        <v>481</v>
      </c>
      <c r="AX158" s="1" t="s">
        <v>51</v>
      </c>
      <c r="AY158" s="1" t="s">
        <v>51</v>
      </c>
      <c r="AZ158" s="1" t="s">
        <v>51</v>
      </c>
    </row>
    <row r="159" spans="1:52" ht="30" customHeight="1" x14ac:dyDescent="0.3">
      <c r="A159" s="19" t="s">
        <v>405</v>
      </c>
      <c r="B159" s="19" t="s">
        <v>296</v>
      </c>
      <c r="C159" s="19" t="s">
        <v>297</v>
      </c>
      <c r="D159" s="20">
        <f>공량산출근거서!K77</f>
        <v>5.7999999999999996E-3</v>
      </c>
      <c r="E159" s="22">
        <f>단가대비표!O58</f>
        <v>0</v>
      </c>
      <c r="F159" s="25">
        <f t="shared" si="46"/>
        <v>0</v>
      </c>
      <c r="G159" s="22">
        <f>단가대비표!P58</f>
        <v>172068</v>
      </c>
      <c r="H159" s="25">
        <f t="shared" si="47"/>
        <v>997.9</v>
      </c>
      <c r="I159" s="22">
        <f>단가대비표!V58</f>
        <v>0</v>
      </c>
      <c r="J159" s="25">
        <f t="shared" si="48"/>
        <v>0</v>
      </c>
      <c r="K159" s="22">
        <f t="shared" si="49"/>
        <v>172068</v>
      </c>
      <c r="L159" s="25">
        <f t="shared" si="49"/>
        <v>997.9</v>
      </c>
      <c r="M159" s="19" t="s">
        <v>51</v>
      </c>
      <c r="N159" s="1" t="s">
        <v>158</v>
      </c>
      <c r="O159" s="1" t="s">
        <v>406</v>
      </c>
      <c r="P159" s="1" t="s">
        <v>62</v>
      </c>
      <c r="Q159" s="1" t="s">
        <v>62</v>
      </c>
      <c r="R159" s="1" t="s">
        <v>61</v>
      </c>
      <c r="W159">
        <v>2</v>
      </c>
      <c r="AV159" s="1" t="s">
        <v>51</v>
      </c>
      <c r="AW159" s="1" t="s">
        <v>482</v>
      </c>
      <c r="AX159" s="1" t="s">
        <v>51</v>
      </c>
      <c r="AY159" s="1" t="s">
        <v>51</v>
      </c>
      <c r="AZ159" s="1" t="s">
        <v>51</v>
      </c>
    </row>
    <row r="160" spans="1:52" ht="30" customHeight="1" x14ac:dyDescent="0.3">
      <c r="A160" s="19" t="s">
        <v>408</v>
      </c>
      <c r="B160" s="19" t="s">
        <v>296</v>
      </c>
      <c r="C160" s="19" t="s">
        <v>297</v>
      </c>
      <c r="D160" s="20">
        <f>공량산출근거서!K78</f>
        <v>5.1999999999999998E-3</v>
      </c>
      <c r="E160" s="22">
        <f>단가대비표!O64</f>
        <v>0</v>
      </c>
      <c r="F160" s="25">
        <f t="shared" si="46"/>
        <v>0</v>
      </c>
      <c r="G160" s="22">
        <f>단가대비표!P64</f>
        <v>408942</v>
      </c>
      <c r="H160" s="25">
        <f t="shared" si="47"/>
        <v>2126.4</v>
      </c>
      <c r="I160" s="22">
        <f>단가대비표!V64</f>
        <v>0</v>
      </c>
      <c r="J160" s="25">
        <f t="shared" si="48"/>
        <v>0</v>
      </c>
      <c r="K160" s="22">
        <f t="shared" si="49"/>
        <v>408942</v>
      </c>
      <c r="L160" s="25">
        <f t="shared" si="49"/>
        <v>2126.4</v>
      </c>
      <c r="M160" s="19" t="s">
        <v>51</v>
      </c>
      <c r="N160" s="1" t="s">
        <v>158</v>
      </c>
      <c r="O160" s="1" t="s">
        <v>409</v>
      </c>
      <c r="P160" s="1" t="s">
        <v>62</v>
      </c>
      <c r="Q160" s="1" t="s">
        <v>62</v>
      </c>
      <c r="R160" s="1" t="s">
        <v>61</v>
      </c>
      <c r="W160">
        <v>2</v>
      </c>
      <c r="AV160" s="1" t="s">
        <v>51</v>
      </c>
      <c r="AW160" s="1" t="s">
        <v>483</v>
      </c>
      <c r="AX160" s="1" t="s">
        <v>51</v>
      </c>
      <c r="AY160" s="1" t="s">
        <v>51</v>
      </c>
      <c r="AZ160" s="1" t="s">
        <v>51</v>
      </c>
    </row>
    <row r="161" spans="1:52" ht="30" customHeight="1" x14ac:dyDescent="0.3">
      <c r="A161" s="19" t="s">
        <v>280</v>
      </c>
      <c r="B161" s="19" t="s">
        <v>381</v>
      </c>
      <c r="C161" s="19" t="s">
        <v>229</v>
      </c>
      <c r="D161" s="20">
        <v>1</v>
      </c>
      <c r="E161" s="22">
        <f>TRUNC(SUMIF(W156:W161, RIGHTB(O161, 1), H156:H161)*U161, 2)</f>
        <v>93.72</v>
      </c>
      <c r="F161" s="25">
        <f t="shared" si="46"/>
        <v>93.7</v>
      </c>
      <c r="G161" s="22">
        <v>0</v>
      </c>
      <c r="H161" s="25">
        <f t="shared" si="47"/>
        <v>0</v>
      </c>
      <c r="I161" s="22">
        <v>0</v>
      </c>
      <c r="J161" s="25">
        <f t="shared" si="48"/>
        <v>0</v>
      </c>
      <c r="K161" s="22">
        <f t="shared" si="49"/>
        <v>93.7</v>
      </c>
      <c r="L161" s="25">
        <f t="shared" si="49"/>
        <v>93.7</v>
      </c>
      <c r="M161" s="19" t="s">
        <v>51</v>
      </c>
      <c r="N161" s="1" t="s">
        <v>158</v>
      </c>
      <c r="O161" s="1" t="s">
        <v>293</v>
      </c>
      <c r="P161" s="1" t="s">
        <v>62</v>
      </c>
      <c r="Q161" s="1" t="s">
        <v>62</v>
      </c>
      <c r="R161" s="1" t="s">
        <v>62</v>
      </c>
      <c r="S161">
        <v>1</v>
      </c>
      <c r="T161">
        <v>0</v>
      </c>
      <c r="U161">
        <v>0.03</v>
      </c>
      <c r="AV161" s="1" t="s">
        <v>51</v>
      </c>
      <c r="AW161" s="1" t="s">
        <v>484</v>
      </c>
      <c r="AX161" s="1" t="s">
        <v>51</v>
      </c>
      <c r="AY161" s="1" t="s">
        <v>51</v>
      </c>
      <c r="AZ161" s="1" t="s">
        <v>51</v>
      </c>
    </row>
    <row r="162" spans="1:52" ht="30" customHeight="1" x14ac:dyDescent="0.3">
      <c r="A162" s="19" t="s">
        <v>283</v>
      </c>
      <c r="B162" s="19" t="s">
        <v>51</v>
      </c>
      <c r="C162" s="19" t="s">
        <v>51</v>
      </c>
      <c r="D162" s="20"/>
      <c r="E162" s="22"/>
      <c r="F162" s="25">
        <f>TRUNC(SUMIF(N156:N161, N155, F156:F161),0)</f>
        <v>1213</v>
      </c>
      <c r="G162" s="22"/>
      <c r="H162" s="25">
        <f>TRUNC(SUMIF(N156:N161, N155, H156:H161),0)</f>
        <v>3124</v>
      </c>
      <c r="I162" s="22"/>
      <c r="J162" s="25">
        <f>TRUNC(SUMIF(N156:N161, N155, J156:J161),0)</f>
        <v>0</v>
      </c>
      <c r="K162" s="22"/>
      <c r="L162" s="25">
        <f>F162+H162+J162</f>
        <v>4337</v>
      </c>
      <c r="M162" s="19" t="s">
        <v>51</v>
      </c>
      <c r="N162" s="1" t="s">
        <v>83</v>
      </c>
      <c r="O162" s="1" t="s">
        <v>83</v>
      </c>
      <c r="P162" s="1" t="s">
        <v>51</v>
      </c>
      <c r="Q162" s="1" t="s">
        <v>51</v>
      </c>
      <c r="R162" s="1" t="s">
        <v>51</v>
      </c>
      <c r="AV162" s="1" t="s">
        <v>51</v>
      </c>
      <c r="AW162" s="1" t="s">
        <v>51</v>
      </c>
      <c r="AX162" s="1" t="s">
        <v>51</v>
      </c>
      <c r="AY162" s="1" t="s">
        <v>51</v>
      </c>
      <c r="AZ162" s="1" t="s">
        <v>51</v>
      </c>
    </row>
    <row r="163" spans="1:52" ht="30" customHeight="1" x14ac:dyDescent="0.3">
      <c r="A163" s="20"/>
      <c r="B163" s="20"/>
      <c r="C163" s="20"/>
      <c r="D163" s="20"/>
      <c r="E163" s="22"/>
      <c r="F163" s="25"/>
      <c r="G163" s="22"/>
      <c r="H163" s="25"/>
      <c r="I163" s="22"/>
      <c r="J163" s="25"/>
      <c r="K163" s="22"/>
      <c r="L163" s="25"/>
      <c r="M163" s="20"/>
    </row>
    <row r="164" spans="1:52" ht="30" customHeight="1" x14ac:dyDescent="0.3">
      <c r="A164" s="16" t="s">
        <v>485</v>
      </c>
      <c r="B164" s="17"/>
      <c r="C164" s="17"/>
      <c r="D164" s="17"/>
      <c r="E164" s="21"/>
      <c r="F164" s="24"/>
      <c r="G164" s="21"/>
      <c r="H164" s="24"/>
      <c r="I164" s="21"/>
      <c r="J164" s="24"/>
      <c r="K164" s="21"/>
      <c r="L164" s="24"/>
      <c r="M164" s="18"/>
      <c r="N164" s="1" t="s">
        <v>163</v>
      </c>
    </row>
    <row r="165" spans="1:52" ht="30" customHeight="1" x14ac:dyDescent="0.3">
      <c r="A165" s="19" t="s">
        <v>160</v>
      </c>
      <c r="B165" s="19" t="s">
        <v>486</v>
      </c>
      <c r="C165" s="19" t="s">
        <v>72</v>
      </c>
      <c r="D165" s="20">
        <v>1</v>
      </c>
      <c r="E165" s="22">
        <f>단가대비표!O34</f>
        <v>2728</v>
      </c>
      <c r="F165" s="25">
        <f>TRUNC(E165*D165,1)</f>
        <v>2728</v>
      </c>
      <c r="G165" s="22">
        <f>단가대비표!P34</f>
        <v>0</v>
      </c>
      <c r="H165" s="25">
        <f>TRUNC(G165*D165,1)</f>
        <v>0</v>
      </c>
      <c r="I165" s="22">
        <f>단가대비표!V34</f>
        <v>0</v>
      </c>
      <c r="J165" s="25">
        <f>TRUNC(I165*D165,1)</f>
        <v>0</v>
      </c>
      <c r="K165" s="22">
        <f t="shared" ref="K165:L167" si="50">TRUNC(E165+G165+I165,1)</f>
        <v>2728</v>
      </c>
      <c r="L165" s="25">
        <f t="shared" si="50"/>
        <v>2728</v>
      </c>
      <c r="M165" s="19" t="s">
        <v>51</v>
      </c>
      <c r="N165" s="1" t="s">
        <v>163</v>
      </c>
      <c r="O165" s="1" t="s">
        <v>487</v>
      </c>
      <c r="P165" s="1" t="s">
        <v>62</v>
      </c>
      <c r="Q165" s="1" t="s">
        <v>62</v>
      </c>
      <c r="R165" s="1" t="s">
        <v>61</v>
      </c>
      <c r="AV165" s="1" t="s">
        <v>51</v>
      </c>
      <c r="AW165" s="1" t="s">
        <v>488</v>
      </c>
      <c r="AX165" s="1" t="s">
        <v>51</v>
      </c>
      <c r="AY165" s="1" t="s">
        <v>51</v>
      </c>
      <c r="AZ165" s="1" t="s">
        <v>51</v>
      </c>
    </row>
    <row r="166" spans="1:52" ht="30" customHeight="1" x14ac:dyDescent="0.3">
      <c r="A166" s="19" t="s">
        <v>295</v>
      </c>
      <c r="B166" s="19" t="s">
        <v>296</v>
      </c>
      <c r="C166" s="19" t="s">
        <v>297</v>
      </c>
      <c r="D166" s="20">
        <f>공량산출근거서!K81</f>
        <v>3.3599999999999998E-2</v>
      </c>
      <c r="E166" s="22">
        <f>단가대비표!O63</f>
        <v>0</v>
      </c>
      <c r="F166" s="25">
        <f>TRUNC(E166*D166,1)</f>
        <v>0</v>
      </c>
      <c r="G166" s="22">
        <f>단가대비표!P63</f>
        <v>284880</v>
      </c>
      <c r="H166" s="25">
        <f>TRUNC(G166*D166,1)</f>
        <v>9571.9</v>
      </c>
      <c r="I166" s="22">
        <f>단가대비표!V63</f>
        <v>0</v>
      </c>
      <c r="J166" s="25">
        <f>TRUNC(I166*D166,1)</f>
        <v>0</v>
      </c>
      <c r="K166" s="22">
        <f t="shared" si="50"/>
        <v>284880</v>
      </c>
      <c r="L166" s="25">
        <f t="shared" si="50"/>
        <v>9571.9</v>
      </c>
      <c r="M166" s="19" t="s">
        <v>51</v>
      </c>
      <c r="N166" s="1" t="s">
        <v>163</v>
      </c>
      <c r="O166" s="1" t="s">
        <v>298</v>
      </c>
      <c r="P166" s="1" t="s">
        <v>62</v>
      </c>
      <c r="Q166" s="1" t="s">
        <v>62</v>
      </c>
      <c r="R166" s="1" t="s">
        <v>61</v>
      </c>
      <c r="V166">
        <v>1</v>
      </c>
      <c r="AV166" s="1" t="s">
        <v>51</v>
      </c>
      <c r="AW166" s="1" t="s">
        <v>489</v>
      </c>
      <c r="AX166" s="1" t="s">
        <v>51</v>
      </c>
      <c r="AY166" s="1" t="s">
        <v>51</v>
      </c>
      <c r="AZ166" s="1" t="s">
        <v>51</v>
      </c>
    </row>
    <row r="167" spans="1:52" ht="30" customHeight="1" x14ac:dyDescent="0.3">
      <c r="A167" s="19" t="s">
        <v>280</v>
      </c>
      <c r="B167" s="19" t="s">
        <v>281</v>
      </c>
      <c r="C167" s="19" t="s">
        <v>229</v>
      </c>
      <c r="D167" s="20">
        <v>1</v>
      </c>
      <c r="E167" s="22">
        <v>0</v>
      </c>
      <c r="F167" s="25">
        <f>TRUNC(E167*D167,1)</f>
        <v>0</v>
      </c>
      <c r="G167" s="22">
        <f>TRUNC(SUMIF(V165:V167, RIGHTB(O167, 1), H165:H167)*U167, 2)</f>
        <v>287.14999999999998</v>
      </c>
      <c r="H167" s="25">
        <f>TRUNC(G167*D167,1)</f>
        <v>287.10000000000002</v>
      </c>
      <c r="I167" s="22">
        <v>0</v>
      </c>
      <c r="J167" s="25">
        <f>TRUNC(I167*D167,1)</f>
        <v>0</v>
      </c>
      <c r="K167" s="22">
        <f t="shared" si="50"/>
        <v>287.10000000000002</v>
      </c>
      <c r="L167" s="25">
        <f t="shared" si="50"/>
        <v>287.10000000000002</v>
      </c>
      <c r="M167" s="19" t="s">
        <v>51</v>
      </c>
      <c r="N167" s="1" t="s">
        <v>163</v>
      </c>
      <c r="O167" s="1" t="s">
        <v>234</v>
      </c>
      <c r="P167" s="1" t="s">
        <v>62</v>
      </c>
      <c r="Q167" s="1" t="s">
        <v>62</v>
      </c>
      <c r="R167" s="1" t="s">
        <v>62</v>
      </c>
      <c r="S167">
        <v>1</v>
      </c>
      <c r="T167">
        <v>1</v>
      </c>
      <c r="U167">
        <v>0.03</v>
      </c>
      <c r="AV167" s="1" t="s">
        <v>51</v>
      </c>
      <c r="AW167" s="1" t="s">
        <v>490</v>
      </c>
      <c r="AX167" s="1" t="s">
        <v>51</v>
      </c>
      <c r="AY167" s="1" t="s">
        <v>51</v>
      </c>
      <c r="AZ167" s="1" t="s">
        <v>51</v>
      </c>
    </row>
    <row r="168" spans="1:52" ht="30" customHeight="1" x14ac:dyDescent="0.3">
      <c r="A168" s="19" t="s">
        <v>283</v>
      </c>
      <c r="B168" s="19" t="s">
        <v>51</v>
      </c>
      <c r="C168" s="19" t="s">
        <v>51</v>
      </c>
      <c r="D168" s="20"/>
      <c r="E168" s="22"/>
      <c r="F168" s="25">
        <f>TRUNC(SUMIF(N165:N167, N164, F165:F167),0)</f>
        <v>2728</v>
      </c>
      <c r="G168" s="22"/>
      <c r="H168" s="25">
        <f>TRUNC(SUMIF(N165:N167, N164, H165:H167),0)</f>
        <v>9859</v>
      </c>
      <c r="I168" s="22"/>
      <c r="J168" s="25">
        <f>TRUNC(SUMIF(N165:N167, N164, J165:J167),0)</f>
        <v>0</v>
      </c>
      <c r="K168" s="22"/>
      <c r="L168" s="25">
        <f>F168+H168+J168</f>
        <v>12587</v>
      </c>
      <c r="M168" s="19" t="s">
        <v>51</v>
      </c>
      <c r="N168" s="1" t="s">
        <v>83</v>
      </c>
      <c r="O168" s="1" t="s">
        <v>83</v>
      </c>
      <c r="P168" s="1" t="s">
        <v>51</v>
      </c>
      <c r="Q168" s="1" t="s">
        <v>51</v>
      </c>
      <c r="R168" s="1" t="s">
        <v>51</v>
      </c>
      <c r="AV168" s="1" t="s">
        <v>51</v>
      </c>
      <c r="AW168" s="1" t="s">
        <v>51</v>
      </c>
      <c r="AX168" s="1" t="s">
        <v>51</v>
      </c>
      <c r="AY168" s="1" t="s">
        <v>51</v>
      </c>
      <c r="AZ168" s="1" t="s">
        <v>51</v>
      </c>
    </row>
    <row r="169" spans="1:52" ht="30" customHeight="1" x14ac:dyDescent="0.3">
      <c r="A169" s="20"/>
      <c r="B169" s="20"/>
      <c r="C169" s="20"/>
      <c r="D169" s="20"/>
      <c r="E169" s="22"/>
      <c r="F169" s="25"/>
      <c r="G169" s="22"/>
      <c r="H169" s="25"/>
      <c r="I169" s="22"/>
      <c r="J169" s="25"/>
      <c r="K169" s="22"/>
      <c r="L169" s="25"/>
      <c r="M169" s="20"/>
    </row>
    <row r="170" spans="1:52" ht="30" customHeight="1" x14ac:dyDescent="0.3">
      <c r="A170" s="16" t="s">
        <v>1023</v>
      </c>
      <c r="B170" s="17"/>
      <c r="C170" s="17"/>
      <c r="D170" s="17"/>
      <c r="E170" s="21"/>
      <c r="F170" s="24"/>
      <c r="G170" s="21"/>
      <c r="H170" s="24"/>
      <c r="I170" s="21"/>
      <c r="J170" s="24"/>
      <c r="K170" s="21"/>
      <c r="L170" s="24"/>
      <c r="M170" s="18"/>
      <c r="N170" s="1" t="s">
        <v>166</v>
      </c>
    </row>
    <row r="171" spans="1:52" ht="30" customHeight="1" x14ac:dyDescent="0.3">
      <c r="A171" s="19" t="s">
        <v>413</v>
      </c>
      <c r="B171" s="19" t="s">
        <v>423</v>
      </c>
      <c r="C171" s="19" t="s">
        <v>66</v>
      </c>
      <c r="D171" s="20">
        <v>1</v>
      </c>
      <c r="E171" s="22">
        <f>단가대비표!O46</f>
        <v>240</v>
      </c>
      <c r="F171" s="25">
        <f t="shared" ref="F171:F176" si="51">TRUNC(E171*D171,1)</f>
        <v>240</v>
      </c>
      <c r="G171" s="22">
        <f>단가대비표!P46</f>
        <v>0</v>
      </c>
      <c r="H171" s="25">
        <f t="shared" ref="H171:H176" si="52">TRUNC(G171*D171,1)</f>
        <v>0</v>
      </c>
      <c r="I171" s="22">
        <f>단가대비표!V46</f>
        <v>0</v>
      </c>
      <c r="J171" s="25">
        <f t="shared" ref="J171:J176" si="53">TRUNC(I171*D171,1)</f>
        <v>0</v>
      </c>
      <c r="K171" s="22">
        <f t="shared" ref="K171:L176" si="54">TRUNC(E171+G171+I171,1)</f>
        <v>240</v>
      </c>
      <c r="L171" s="25">
        <f t="shared" si="54"/>
        <v>240</v>
      </c>
      <c r="M171" s="19" t="s">
        <v>51</v>
      </c>
      <c r="N171" s="1" t="s">
        <v>166</v>
      </c>
      <c r="O171" s="1" t="s">
        <v>424</v>
      </c>
      <c r="P171" s="1" t="s">
        <v>62</v>
      </c>
      <c r="Q171" s="1" t="s">
        <v>62</v>
      </c>
      <c r="R171" s="1" t="s">
        <v>61</v>
      </c>
      <c r="V171">
        <v>1</v>
      </c>
      <c r="W171">
        <v>2</v>
      </c>
      <c r="AV171" s="1" t="s">
        <v>51</v>
      </c>
      <c r="AW171" s="1" t="s">
        <v>491</v>
      </c>
      <c r="AX171" s="1" t="s">
        <v>51</v>
      </c>
      <c r="AY171" s="1" t="s">
        <v>51</v>
      </c>
      <c r="AZ171" s="1" t="s">
        <v>51</v>
      </c>
    </row>
    <row r="172" spans="1:52" ht="30" customHeight="1" x14ac:dyDescent="0.3">
      <c r="A172" s="19" t="s">
        <v>413</v>
      </c>
      <c r="B172" s="19" t="s">
        <v>423</v>
      </c>
      <c r="C172" s="19" t="s">
        <v>66</v>
      </c>
      <c r="D172" s="20">
        <v>0.1</v>
      </c>
      <c r="E172" s="22">
        <f>단가대비표!O46</f>
        <v>240</v>
      </c>
      <c r="F172" s="25">
        <f t="shared" si="51"/>
        <v>24</v>
      </c>
      <c r="G172" s="22">
        <f>단가대비표!P46</f>
        <v>0</v>
      </c>
      <c r="H172" s="25">
        <f t="shared" si="52"/>
        <v>0</v>
      </c>
      <c r="I172" s="22">
        <f>단가대비표!V46</f>
        <v>0</v>
      </c>
      <c r="J172" s="25">
        <f t="shared" si="53"/>
        <v>0</v>
      </c>
      <c r="K172" s="22">
        <f t="shared" si="54"/>
        <v>240</v>
      </c>
      <c r="L172" s="25">
        <f t="shared" si="54"/>
        <v>24</v>
      </c>
      <c r="M172" s="19" t="s">
        <v>51</v>
      </c>
      <c r="N172" s="1" t="s">
        <v>166</v>
      </c>
      <c r="O172" s="1" t="s">
        <v>424</v>
      </c>
      <c r="P172" s="1" t="s">
        <v>62</v>
      </c>
      <c r="Q172" s="1" t="s">
        <v>62</v>
      </c>
      <c r="R172" s="1" t="s">
        <v>61</v>
      </c>
      <c r="AV172" s="1" t="s">
        <v>51</v>
      </c>
      <c r="AW172" s="1" t="s">
        <v>491</v>
      </c>
      <c r="AX172" s="1" t="s">
        <v>51</v>
      </c>
      <c r="AY172" s="1" t="s">
        <v>51</v>
      </c>
      <c r="AZ172" s="1" t="s">
        <v>51</v>
      </c>
    </row>
    <row r="173" spans="1:52" ht="30" customHeight="1" x14ac:dyDescent="0.3">
      <c r="A173" s="19" t="s">
        <v>288</v>
      </c>
      <c r="B173" s="19" t="s">
        <v>417</v>
      </c>
      <c r="C173" s="19" t="s">
        <v>229</v>
      </c>
      <c r="D173" s="20">
        <v>1</v>
      </c>
      <c r="E173" s="22">
        <f>TRUNC(SUMIF(V171:V176, RIGHTB(O173, 1), F171:F176)*U173, 2)</f>
        <v>96</v>
      </c>
      <c r="F173" s="25">
        <f t="shared" si="51"/>
        <v>96</v>
      </c>
      <c r="G173" s="22">
        <v>0</v>
      </c>
      <c r="H173" s="25">
        <f t="shared" si="52"/>
        <v>0</v>
      </c>
      <c r="I173" s="22">
        <v>0</v>
      </c>
      <c r="J173" s="25">
        <f t="shared" si="53"/>
        <v>0</v>
      </c>
      <c r="K173" s="22">
        <f t="shared" si="54"/>
        <v>96</v>
      </c>
      <c r="L173" s="25">
        <f t="shared" si="54"/>
        <v>96</v>
      </c>
      <c r="M173" s="19" t="s">
        <v>51</v>
      </c>
      <c r="N173" s="1" t="s">
        <v>166</v>
      </c>
      <c r="O173" s="1" t="s">
        <v>234</v>
      </c>
      <c r="P173" s="1" t="s">
        <v>62</v>
      </c>
      <c r="Q173" s="1" t="s">
        <v>62</v>
      </c>
      <c r="R173" s="1" t="s">
        <v>62</v>
      </c>
      <c r="S173">
        <v>0</v>
      </c>
      <c r="T173">
        <v>0</v>
      </c>
      <c r="U173">
        <v>0.4</v>
      </c>
      <c r="AV173" s="1" t="s">
        <v>51</v>
      </c>
      <c r="AW173" s="1" t="s">
        <v>492</v>
      </c>
      <c r="AX173" s="1" t="s">
        <v>51</v>
      </c>
      <c r="AY173" s="1" t="s">
        <v>51</v>
      </c>
      <c r="AZ173" s="1" t="s">
        <v>51</v>
      </c>
    </row>
    <row r="174" spans="1:52" ht="30" customHeight="1" x14ac:dyDescent="0.3">
      <c r="A174" s="19" t="s">
        <v>291</v>
      </c>
      <c r="B174" s="19" t="s">
        <v>493</v>
      </c>
      <c r="C174" s="19" t="s">
        <v>229</v>
      </c>
      <c r="D174" s="20">
        <v>1</v>
      </c>
      <c r="E174" s="22">
        <f>TRUNC(SUMIF(W171:W176, RIGHTB(O174, 1), F171:F176)*U174, 2)</f>
        <v>4.8</v>
      </c>
      <c r="F174" s="25">
        <f t="shared" si="51"/>
        <v>4.8</v>
      </c>
      <c r="G174" s="22">
        <v>0</v>
      </c>
      <c r="H174" s="25">
        <f t="shared" si="52"/>
        <v>0</v>
      </c>
      <c r="I174" s="22">
        <v>0</v>
      </c>
      <c r="J174" s="25">
        <f t="shared" si="53"/>
        <v>0</v>
      </c>
      <c r="K174" s="22">
        <f t="shared" si="54"/>
        <v>4.8</v>
      </c>
      <c r="L174" s="25">
        <f t="shared" si="54"/>
        <v>4.8</v>
      </c>
      <c r="M174" s="19" t="s">
        <v>51</v>
      </c>
      <c r="N174" s="1" t="s">
        <v>166</v>
      </c>
      <c r="O174" s="1" t="s">
        <v>293</v>
      </c>
      <c r="P174" s="1" t="s">
        <v>62</v>
      </c>
      <c r="Q174" s="1" t="s">
        <v>62</v>
      </c>
      <c r="R174" s="1" t="s">
        <v>62</v>
      </c>
      <c r="S174">
        <v>0</v>
      </c>
      <c r="T174">
        <v>0</v>
      </c>
      <c r="U174">
        <v>0.02</v>
      </c>
      <c r="AV174" s="1" t="s">
        <v>51</v>
      </c>
      <c r="AW174" s="1" t="s">
        <v>494</v>
      </c>
      <c r="AX174" s="1" t="s">
        <v>51</v>
      </c>
      <c r="AY174" s="1" t="s">
        <v>51</v>
      </c>
      <c r="AZ174" s="1" t="s">
        <v>51</v>
      </c>
    </row>
    <row r="175" spans="1:52" ht="30" customHeight="1" x14ac:dyDescent="0.3">
      <c r="A175" s="19" t="s">
        <v>295</v>
      </c>
      <c r="B175" s="19" t="s">
        <v>296</v>
      </c>
      <c r="C175" s="19" t="s">
        <v>297</v>
      </c>
      <c r="D175" s="20">
        <f>공량산출근거서!K84</f>
        <v>5.7599999999999998E-2</v>
      </c>
      <c r="E175" s="22">
        <f>단가대비표!O63</f>
        <v>0</v>
      </c>
      <c r="F175" s="25">
        <f t="shared" si="51"/>
        <v>0</v>
      </c>
      <c r="G175" s="22">
        <f>단가대비표!P63</f>
        <v>284880</v>
      </c>
      <c r="H175" s="25">
        <f t="shared" si="52"/>
        <v>16409</v>
      </c>
      <c r="I175" s="22">
        <f>단가대비표!V63</f>
        <v>0</v>
      </c>
      <c r="J175" s="25">
        <f t="shared" si="53"/>
        <v>0</v>
      </c>
      <c r="K175" s="22">
        <f t="shared" si="54"/>
        <v>284880</v>
      </c>
      <c r="L175" s="25">
        <f t="shared" si="54"/>
        <v>16409</v>
      </c>
      <c r="M175" s="19" t="s">
        <v>495</v>
      </c>
      <c r="N175" s="1" t="s">
        <v>166</v>
      </c>
      <c r="O175" s="1" t="s">
        <v>298</v>
      </c>
      <c r="P175" s="1" t="s">
        <v>62</v>
      </c>
      <c r="Q175" s="1" t="s">
        <v>62</v>
      </c>
      <c r="R175" s="1" t="s">
        <v>61</v>
      </c>
      <c r="X175">
        <v>3</v>
      </c>
      <c r="AV175" s="1" t="s">
        <v>51</v>
      </c>
      <c r="AW175" s="1" t="s">
        <v>496</v>
      </c>
      <c r="AX175" s="1" t="s">
        <v>51</v>
      </c>
      <c r="AY175" s="1" t="s">
        <v>51</v>
      </c>
      <c r="AZ175" s="1" t="s">
        <v>51</v>
      </c>
    </row>
    <row r="176" spans="1:52" ht="30" customHeight="1" x14ac:dyDescent="0.3">
      <c r="A176" s="19" t="s">
        <v>280</v>
      </c>
      <c r="B176" s="19" t="s">
        <v>281</v>
      </c>
      <c r="C176" s="19" t="s">
        <v>229</v>
      </c>
      <c r="D176" s="20">
        <v>1</v>
      </c>
      <c r="E176" s="22">
        <f>TRUNC(SUMIF(X171:X176, RIGHTB(O176, 1), H171:H176)*U176, 2)</f>
        <v>492.27</v>
      </c>
      <c r="F176" s="25">
        <f t="shared" si="51"/>
        <v>492.2</v>
      </c>
      <c r="G176" s="22">
        <v>0</v>
      </c>
      <c r="H176" s="25">
        <f t="shared" si="52"/>
        <v>0</v>
      </c>
      <c r="I176" s="22">
        <v>0</v>
      </c>
      <c r="J176" s="25">
        <f t="shared" si="53"/>
        <v>0</v>
      </c>
      <c r="K176" s="22">
        <f t="shared" si="54"/>
        <v>492.2</v>
      </c>
      <c r="L176" s="25">
        <f t="shared" si="54"/>
        <v>492.2</v>
      </c>
      <c r="M176" s="19" t="s">
        <v>51</v>
      </c>
      <c r="N176" s="1" t="s">
        <v>166</v>
      </c>
      <c r="O176" s="1" t="s">
        <v>300</v>
      </c>
      <c r="P176" s="1" t="s">
        <v>62</v>
      </c>
      <c r="Q176" s="1" t="s">
        <v>62</v>
      </c>
      <c r="R176" s="1" t="s">
        <v>62</v>
      </c>
      <c r="S176">
        <v>1</v>
      </c>
      <c r="T176">
        <v>0</v>
      </c>
      <c r="U176">
        <v>0.03</v>
      </c>
      <c r="AV176" s="1" t="s">
        <v>51</v>
      </c>
      <c r="AW176" s="1" t="s">
        <v>497</v>
      </c>
      <c r="AX176" s="1" t="s">
        <v>51</v>
      </c>
      <c r="AY176" s="1" t="s">
        <v>51</v>
      </c>
      <c r="AZ176" s="1" t="s">
        <v>51</v>
      </c>
    </row>
    <row r="177" spans="1:52" ht="30" customHeight="1" x14ac:dyDescent="0.3">
      <c r="A177" s="19" t="s">
        <v>283</v>
      </c>
      <c r="B177" s="19" t="s">
        <v>51</v>
      </c>
      <c r="C177" s="19" t="s">
        <v>51</v>
      </c>
      <c r="D177" s="20"/>
      <c r="E177" s="22"/>
      <c r="F177" s="25">
        <f>TRUNC(SUMIF(N171:N176, N170, F171:F176),0)</f>
        <v>857</v>
      </c>
      <c r="G177" s="22"/>
      <c r="H177" s="25">
        <f>TRUNC(SUMIF(N171:N176, N170, H171:H176),0)</f>
        <v>16409</v>
      </c>
      <c r="I177" s="22"/>
      <c r="J177" s="25">
        <f>TRUNC(SUMIF(N171:N176, N170, J171:J176),0)</f>
        <v>0</v>
      </c>
      <c r="K177" s="22"/>
      <c r="L177" s="25">
        <f>F177+H177+J177</f>
        <v>17266</v>
      </c>
      <c r="M177" s="19" t="s">
        <v>51</v>
      </c>
      <c r="N177" s="1" t="s">
        <v>83</v>
      </c>
      <c r="O177" s="1" t="s">
        <v>83</v>
      </c>
      <c r="P177" s="1" t="s">
        <v>51</v>
      </c>
      <c r="Q177" s="1" t="s">
        <v>51</v>
      </c>
      <c r="R177" s="1" t="s">
        <v>51</v>
      </c>
      <c r="AV177" s="1" t="s">
        <v>51</v>
      </c>
      <c r="AW177" s="1" t="s">
        <v>51</v>
      </c>
      <c r="AX177" s="1" t="s">
        <v>51</v>
      </c>
      <c r="AY177" s="1" t="s">
        <v>51</v>
      </c>
      <c r="AZ177" s="1" t="s">
        <v>51</v>
      </c>
    </row>
    <row r="178" spans="1:52" ht="30" customHeight="1" x14ac:dyDescent="0.3">
      <c r="A178" s="20"/>
      <c r="B178" s="20"/>
      <c r="C178" s="20"/>
      <c r="D178" s="20"/>
      <c r="E178" s="22"/>
      <c r="F178" s="25"/>
      <c r="G178" s="22"/>
      <c r="H178" s="25"/>
      <c r="I178" s="22"/>
      <c r="J178" s="25"/>
      <c r="K178" s="22"/>
      <c r="L178" s="25"/>
      <c r="M178" s="20"/>
    </row>
    <row r="179" spans="1:52" ht="30" customHeight="1" x14ac:dyDescent="0.3">
      <c r="A179" s="16" t="s">
        <v>498</v>
      </c>
      <c r="B179" s="17"/>
      <c r="C179" s="17"/>
      <c r="D179" s="17"/>
      <c r="E179" s="21"/>
      <c r="F179" s="24"/>
      <c r="G179" s="21"/>
      <c r="H179" s="24"/>
      <c r="I179" s="21"/>
      <c r="J179" s="24"/>
      <c r="K179" s="21"/>
      <c r="L179" s="24"/>
      <c r="M179" s="18"/>
      <c r="N179" s="1" t="s">
        <v>171</v>
      </c>
    </row>
    <row r="180" spans="1:52" ht="30" customHeight="1" x14ac:dyDescent="0.3">
      <c r="A180" s="19" t="s">
        <v>168</v>
      </c>
      <c r="B180" s="19" t="s">
        <v>499</v>
      </c>
      <c r="C180" s="19" t="s">
        <v>66</v>
      </c>
      <c r="D180" s="20">
        <v>1</v>
      </c>
      <c r="E180" s="22">
        <f>단가대비표!O10</f>
        <v>1447</v>
      </c>
      <c r="F180" s="25">
        <f>TRUNC(E180*D180,1)</f>
        <v>1447</v>
      </c>
      <c r="G180" s="22">
        <f>단가대비표!P10</f>
        <v>0</v>
      </c>
      <c r="H180" s="25">
        <f>TRUNC(G180*D180,1)</f>
        <v>0</v>
      </c>
      <c r="I180" s="22">
        <f>단가대비표!V10</f>
        <v>0</v>
      </c>
      <c r="J180" s="25">
        <f>TRUNC(I180*D180,1)</f>
        <v>0</v>
      </c>
      <c r="K180" s="22">
        <f t="shared" ref="K180:L184" si="55">TRUNC(E180+G180+I180,1)</f>
        <v>1447</v>
      </c>
      <c r="L180" s="25">
        <f t="shared" si="55"/>
        <v>1447</v>
      </c>
      <c r="M180" s="19" t="s">
        <v>51</v>
      </c>
      <c r="N180" s="1" t="s">
        <v>171</v>
      </c>
      <c r="O180" s="1" t="s">
        <v>500</v>
      </c>
      <c r="P180" s="1" t="s">
        <v>62</v>
      </c>
      <c r="Q180" s="1" t="s">
        <v>62</v>
      </c>
      <c r="R180" s="1" t="s">
        <v>61</v>
      </c>
      <c r="V180">
        <v>1</v>
      </c>
      <c r="AV180" s="1" t="s">
        <v>51</v>
      </c>
      <c r="AW180" s="1" t="s">
        <v>501</v>
      </c>
      <c r="AX180" s="1" t="s">
        <v>51</v>
      </c>
      <c r="AY180" s="1" t="s">
        <v>51</v>
      </c>
      <c r="AZ180" s="1" t="s">
        <v>51</v>
      </c>
    </row>
    <row r="181" spans="1:52" ht="30" customHeight="1" x14ac:dyDescent="0.3">
      <c r="A181" s="19" t="s">
        <v>168</v>
      </c>
      <c r="B181" s="19" t="s">
        <v>499</v>
      </c>
      <c r="C181" s="19" t="s">
        <v>66</v>
      </c>
      <c r="D181" s="20">
        <v>0.05</v>
      </c>
      <c r="E181" s="22">
        <f>단가대비표!O10</f>
        <v>1447</v>
      </c>
      <c r="F181" s="25">
        <f>TRUNC(E181*D181,1)</f>
        <v>72.3</v>
      </c>
      <c r="G181" s="22">
        <f>단가대비표!P10</f>
        <v>0</v>
      </c>
      <c r="H181" s="25">
        <f>TRUNC(G181*D181,1)</f>
        <v>0</v>
      </c>
      <c r="I181" s="22">
        <f>단가대비표!V10</f>
        <v>0</v>
      </c>
      <c r="J181" s="25">
        <f>TRUNC(I181*D181,1)</f>
        <v>0</v>
      </c>
      <c r="K181" s="22">
        <f t="shared" si="55"/>
        <v>1447</v>
      </c>
      <c r="L181" s="25">
        <f t="shared" si="55"/>
        <v>72.3</v>
      </c>
      <c r="M181" s="19" t="s">
        <v>51</v>
      </c>
      <c r="N181" s="1" t="s">
        <v>171</v>
      </c>
      <c r="O181" s="1" t="s">
        <v>500</v>
      </c>
      <c r="P181" s="1" t="s">
        <v>62</v>
      </c>
      <c r="Q181" s="1" t="s">
        <v>62</v>
      </c>
      <c r="R181" s="1" t="s">
        <v>61</v>
      </c>
      <c r="AV181" s="1" t="s">
        <v>51</v>
      </c>
      <c r="AW181" s="1" t="s">
        <v>501</v>
      </c>
      <c r="AX181" s="1" t="s">
        <v>51</v>
      </c>
      <c r="AY181" s="1" t="s">
        <v>51</v>
      </c>
      <c r="AZ181" s="1" t="s">
        <v>51</v>
      </c>
    </row>
    <row r="182" spans="1:52" ht="30" customHeight="1" x14ac:dyDescent="0.3">
      <c r="A182" s="19" t="s">
        <v>291</v>
      </c>
      <c r="B182" s="19" t="s">
        <v>493</v>
      </c>
      <c r="C182" s="19" t="s">
        <v>229</v>
      </c>
      <c r="D182" s="20">
        <v>1</v>
      </c>
      <c r="E182" s="22">
        <f>TRUNC(SUMIF(V180:V184, RIGHTB(O182, 1), F180:F184)*U182, 2)</f>
        <v>28.94</v>
      </c>
      <c r="F182" s="25">
        <f>TRUNC(E182*D182,1)</f>
        <v>28.9</v>
      </c>
      <c r="G182" s="22">
        <v>0</v>
      </c>
      <c r="H182" s="25">
        <f>TRUNC(G182*D182,1)</f>
        <v>0</v>
      </c>
      <c r="I182" s="22">
        <v>0</v>
      </c>
      <c r="J182" s="25">
        <f>TRUNC(I182*D182,1)</f>
        <v>0</v>
      </c>
      <c r="K182" s="22">
        <f t="shared" si="55"/>
        <v>28.9</v>
      </c>
      <c r="L182" s="25">
        <f t="shared" si="55"/>
        <v>28.9</v>
      </c>
      <c r="M182" s="19" t="s">
        <v>51</v>
      </c>
      <c r="N182" s="1" t="s">
        <v>171</v>
      </c>
      <c r="O182" s="1" t="s">
        <v>234</v>
      </c>
      <c r="P182" s="1" t="s">
        <v>62</v>
      </c>
      <c r="Q182" s="1" t="s">
        <v>62</v>
      </c>
      <c r="R182" s="1" t="s">
        <v>62</v>
      </c>
      <c r="S182">
        <v>0</v>
      </c>
      <c r="T182">
        <v>0</v>
      </c>
      <c r="U182">
        <v>0.02</v>
      </c>
      <c r="AV182" s="1" t="s">
        <v>51</v>
      </c>
      <c r="AW182" s="1" t="s">
        <v>502</v>
      </c>
      <c r="AX182" s="1" t="s">
        <v>51</v>
      </c>
      <c r="AY182" s="1" t="s">
        <v>51</v>
      </c>
      <c r="AZ182" s="1" t="s">
        <v>51</v>
      </c>
    </row>
    <row r="183" spans="1:52" ht="30" customHeight="1" x14ac:dyDescent="0.3">
      <c r="A183" s="19" t="s">
        <v>397</v>
      </c>
      <c r="B183" s="19" t="s">
        <v>296</v>
      </c>
      <c r="C183" s="19" t="s">
        <v>297</v>
      </c>
      <c r="D183" s="20">
        <f>공량산출근거서!K88</f>
        <v>1.7000000000000001E-2</v>
      </c>
      <c r="E183" s="22">
        <f>단가대비표!O65</f>
        <v>0</v>
      </c>
      <c r="F183" s="25">
        <f>TRUNC(E183*D183,1)</f>
        <v>0</v>
      </c>
      <c r="G183" s="22">
        <f>단가대비표!P65</f>
        <v>436224</v>
      </c>
      <c r="H183" s="25">
        <f>TRUNC(G183*D183,1)</f>
        <v>7415.8</v>
      </c>
      <c r="I183" s="22">
        <f>단가대비표!V65</f>
        <v>0</v>
      </c>
      <c r="J183" s="25">
        <f>TRUNC(I183*D183,1)</f>
        <v>0</v>
      </c>
      <c r="K183" s="22">
        <f t="shared" si="55"/>
        <v>436224</v>
      </c>
      <c r="L183" s="25">
        <f t="shared" si="55"/>
        <v>7415.8</v>
      </c>
      <c r="M183" s="19" t="s">
        <v>51</v>
      </c>
      <c r="N183" s="1" t="s">
        <v>171</v>
      </c>
      <c r="O183" s="1" t="s">
        <v>398</v>
      </c>
      <c r="P183" s="1" t="s">
        <v>62</v>
      </c>
      <c r="Q183" s="1" t="s">
        <v>62</v>
      </c>
      <c r="R183" s="1" t="s">
        <v>61</v>
      </c>
      <c r="W183">
        <v>2</v>
      </c>
      <c r="AV183" s="1" t="s">
        <v>51</v>
      </c>
      <c r="AW183" s="1" t="s">
        <v>503</v>
      </c>
      <c r="AX183" s="1" t="s">
        <v>51</v>
      </c>
      <c r="AY183" s="1" t="s">
        <v>51</v>
      </c>
      <c r="AZ183" s="1" t="s">
        <v>51</v>
      </c>
    </row>
    <row r="184" spans="1:52" ht="30" customHeight="1" x14ac:dyDescent="0.3">
      <c r="A184" s="19" t="s">
        <v>280</v>
      </c>
      <c r="B184" s="19" t="s">
        <v>381</v>
      </c>
      <c r="C184" s="19" t="s">
        <v>229</v>
      </c>
      <c r="D184" s="20">
        <v>1</v>
      </c>
      <c r="E184" s="22">
        <f>TRUNC(SUMIF(W180:W184, RIGHTB(O184, 1), H180:H184)*U184, 2)</f>
        <v>222.47</v>
      </c>
      <c r="F184" s="25">
        <f>TRUNC(E184*D184,1)</f>
        <v>222.4</v>
      </c>
      <c r="G184" s="22">
        <v>0</v>
      </c>
      <c r="H184" s="25">
        <f>TRUNC(G184*D184,1)</f>
        <v>0</v>
      </c>
      <c r="I184" s="22">
        <v>0</v>
      </c>
      <c r="J184" s="25">
        <f>TRUNC(I184*D184,1)</f>
        <v>0</v>
      </c>
      <c r="K184" s="22">
        <f t="shared" si="55"/>
        <v>222.4</v>
      </c>
      <c r="L184" s="25">
        <f t="shared" si="55"/>
        <v>222.4</v>
      </c>
      <c r="M184" s="19" t="s">
        <v>51</v>
      </c>
      <c r="N184" s="1" t="s">
        <v>171</v>
      </c>
      <c r="O184" s="1" t="s">
        <v>293</v>
      </c>
      <c r="P184" s="1" t="s">
        <v>62</v>
      </c>
      <c r="Q184" s="1" t="s">
        <v>62</v>
      </c>
      <c r="R184" s="1" t="s">
        <v>62</v>
      </c>
      <c r="S184">
        <v>1</v>
      </c>
      <c r="T184">
        <v>0</v>
      </c>
      <c r="U184">
        <v>0.03</v>
      </c>
      <c r="AV184" s="1" t="s">
        <v>51</v>
      </c>
      <c r="AW184" s="1" t="s">
        <v>504</v>
      </c>
      <c r="AX184" s="1" t="s">
        <v>51</v>
      </c>
      <c r="AY184" s="1" t="s">
        <v>51</v>
      </c>
      <c r="AZ184" s="1" t="s">
        <v>51</v>
      </c>
    </row>
    <row r="185" spans="1:52" ht="30" customHeight="1" x14ac:dyDescent="0.3">
      <c r="A185" s="19" t="s">
        <v>283</v>
      </c>
      <c r="B185" s="19" t="s">
        <v>51</v>
      </c>
      <c r="C185" s="19" t="s">
        <v>51</v>
      </c>
      <c r="D185" s="20"/>
      <c r="E185" s="22"/>
      <c r="F185" s="25">
        <f>TRUNC(SUMIF(N180:N184, N179, F180:F184),0)</f>
        <v>1770</v>
      </c>
      <c r="G185" s="22"/>
      <c r="H185" s="25">
        <f>TRUNC(SUMIF(N180:N184, N179, H180:H184),0)</f>
        <v>7415</v>
      </c>
      <c r="I185" s="22"/>
      <c r="J185" s="25">
        <f>TRUNC(SUMIF(N180:N184, N179, J180:J184),0)</f>
        <v>0</v>
      </c>
      <c r="K185" s="22"/>
      <c r="L185" s="25">
        <f>F185+H185+J185</f>
        <v>9185</v>
      </c>
      <c r="M185" s="19" t="s">
        <v>51</v>
      </c>
      <c r="N185" s="1" t="s">
        <v>83</v>
      </c>
      <c r="O185" s="1" t="s">
        <v>83</v>
      </c>
      <c r="P185" s="1" t="s">
        <v>51</v>
      </c>
      <c r="Q185" s="1" t="s">
        <v>51</v>
      </c>
      <c r="R185" s="1" t="s">
        <v>51</v>
      </c>
      <c r="AV185" s="1" t="s">
        <v>51</v>
      </c>
      <c r="AW185" s="1" t="s">
        <v>51</v>
      </c>
      <c r="AX185" s="1" t="s">
        <v>51</v>
      </c>
      <c r="AY185" s="1" t="s">
        <v>51</v>
      </c>
      <c r="AZ185" s="1" t="s">
        <v>51</v>
      </c>
    </row>
    <row r="186" spans="1:52" ht="30" customHeight="1" x14ac:dyDescent="0.3">
      <c r="A186" s="20"/>
      <c r="B186" s="20"/>
      <c r="C186" s="20"/>
      <c r="D186" s="20"/>
      <c r="E186" s="22"/>
      <c r="F186" s="25"/>
      <c r="G186" s="22"/>
      <c r="H186" s="25"/>
      <c r="I186" s="22"/>
      <c r="J186" s="25"/>
      <c r="K186" s="22"/>
      <c r="L186" s="25"/>
      <c r="M186" s="20"/>
    </row>
    <row r="187" spans="1:52" ht="30" customHeight="1" x14ac:dyDescent="0.3">
      <c r="A187" s="16" t="s">
        <v>505</v>
      </c>
      <c r="B187" s="17"/>
      <c r="C187" s="17"/>
      <c r="D187" s="17"/>
      <c r="E187" s="21"/>
      <c r="F187" s="24"/>
      <c r="G187" s="21"/>
      <c r="H187" s="24"/>
      <c r="I187" s="21"/>
      <c r="J187" s="24"/>
      <c r="K187" s="21"/>
      <c r="L187" s="24"/>
      <c r="M187" s="18"/>
      <c r="N187" s="1" t="s">
        <v>179</v>
      </c>
    </row>
    <row r="188" spans="1:52" ht="30" customHeight="1" x14ac:dyDescent="0.3">
      <c r="A188" s="19" t="s">
        <v>176</v>
      </c>
      <c r="B188" s="19" t="s">
        <v>506</v>
      </c>
      <c r="C188" s="19" t="s">
        <v>66</v>
      </c>
      <c r="D188" s="20">
        <v>1</v>
      </c>
      <c r="E188" s="22">
        <f>단가대비표!O19</f>
        <v>1953</v>
      </c>
      <c r="F188" s="25">
        <f>TRUNC(E188*D188,1)</f>
        <v>1953</v>
      </c>
      <c r="G188" s="22">
        <f>단가대비표!P19</f>
        <v>0</v>
      </c>
      <c r="H188" s="25">
        <f>TRUNC(G188*D188,1)</f>
        <v>0</v>
      </c>
      <c r="I188" s="22">
        <f>단가대비표!V19</f>
        <v>0</v>
      </c>
      <c r="J188" s="25">
        <f>TRUNC(I188*D188,1)</f>
        <v>0</v>
      </c>
      <c r="K188" s="22">
        <f t="shared" ref="K188:L192" si="56">TRUNC(E188+G188+I188,1)</f>
        <v>1953</v>
      </c>
      <c r="L188" s="25">
        <f t="shared" si="56"/>
        <v>1953</v>
      </c>
      <c r="M188" s="19" t="s">
        <v>51</v>
      </c>
      <c r="N188" s="1" t="s">
        <v>179</v>
      </c>
      <c r="O188" s="1" t="s">
        <v>507</v>
      </c>
      <c r="P188" s="1" t="s">
        <v>62</v>
      </c>
      <c r="Q188" s="1" t="s">
        <v>62</v>
      </c>
      <c r="R188" s="1" t="s">
        <v>61</v>
      </c>
      <c r="V188">
        <v>1</v>
      </c>
      <c r="AV188" s="1" t="s">
        <v>51</v>
      </c>
      <c r="AW188" s="1" t="s">
        <v>508</v>
      </c>
      <c r="AX188" s="1" t="s">
        <v>51</v>
      </c>
      <c r="AY188" s="1" t="s">
        <v>51</v>
      </c>
      <c r="AZ188" s="1" t="s">
        <v>51</v>
      </c>
    </row>
    <row r="189" spans="1:52" ht="30" customHeight="1" x14ac:dyDescent="0.3">
      <c r="A189" s="19" t="s">
        <v>176</v>
      </c>
      <c r="B189" s="19" t="s">
        <v>506</v>
      </c>
      <c r="C189" s="19" t="s">
        <v>66</v>
      </c>
      <c r="D189" s="20">
        <v>7.4999999999999997E-2</v>
      </c>
      <c r="E189" s="22">
        <f>단가대비표!O19</f>
        <v>1953</v>
      </c>
      <c r="F189" s="25">
        <f>TRUNC(E189*D189,1)</f>
        <v>146.4</v>
      </c>
      <c r="G189" s="22">
        <f>단가대비표!P19</f>
        <v>0</v>
      </c>
      <c r="H189" s="25">
        <f>TRUNC(G189*D189,1)</f>
        <v>0</v>
      </c>
      <c r="I189" s="22">
        <f>단가대비표!V19</f>
        <v>0</v>
      </c>
      <c r="J189" s="25">
        <f>TRUNC(I189*D189,1)</f>
        <v>0</v>
      </c>
      <c r="K189" s="22">
        <f t="shared" si="56"/>
        <v>1953</v>
      </c>
      <c r="L189" s="25">
        <f t="shared" si="56"/>
        <v>146.4</v>
      </c>
      <c r="M189" s="19" t="s">
        <v>51</v>
      </c>
      <c r="N189" s="1" t="s">
        <v>179</v>
      </c>
      <c r="O189" s="1" t="s">
        <v>507</v>
      </c>
      <c r="P189" s="1" t="s">
        <v>62</v>
      </c>
      <c r="Q189" s="1" t="s">
        <v>62</v>
      </c>
      <c r="R189" s="1" t="s">
        <v>61</v>
      </c>
      <c r="AV189" s="1" t="s">
        <v>51</v>
      </c>
      <c r="AW189" s="1" t="s">
        <v>508</v>
      </c>
      <c r="AX189" s="1" t="s">
        <v>51</v>
      </c>
      <c r="AY189" s="1" t="s">
        <v>51</v>
      </c>
      <c r="AZ189" s="1" t="s">
        <v>51</v>
      </c>
    </row>
    <row r="190" spans="1:52" ht="30" customHeight="1" x14ac:dyDescent="0.3">
      <c r="A190" s="19" t="s">
        <v>291</v>
      </c>
      <c r="B190" s="19" t="s">
        <v>493</v>
      </c>
      <c r="C190" s="19" t="s">
        <v>229</v>
      </c>
      <c r="D190" s="20">
        <v>1</v>
      </c>
      <c r="E190" s="22">
        <f>TRUNC(SUMIF(V188:V192, RIGHTB(O190, 1), F188:F192)*U190, 2)</f>
        <v>39.06</v>
      </c>
      <c r="F190" s="25">
        <f>TRUNC(E190*D190,1)</f>
        <v>39</v>
      </c>
      <c r="G190" s="22">
        <v>0</v>
      </c>
      <c r="H190" s="25">
        <f>TRUNC(G190*D190,1)</f>
        <v>0</v>
      </c>
      <c r="I190" s="22">
        <v>0</v>
      </c>
      <c r="J190" s="25">
        <f>TRUNC(I190*D190,1)</f>
        <v>0</v>
      </c>
      <c r="K190" s="22">
        <f t="shared" si="56"/>
        <v>39</v>
      </c>
      <c r="L190" s="25">
        <f t="shared" si="56"/>
        <v>39</v>
      </c>
      <c r="M190" s="19" t="s">
        <v>51</v>
      </c>
      <c r="N190" s="1" t="s">
        <v>179</v>
      </c>
      <c r="O190" s="1" t="s">
        <v>234</v>
      </c>
      <c r="P190" s="1" t="s">
        <v>62</v>
      </c>
      <c r="Q190" s="1" t="s">
        <v>62</v>
      </c>
      <c r="R190" s="1" t="s">
        <v>62</v>
      </c>
      <c r="S190">
        <v>0</v>
      </c>
      <c r="T190">
        <v>0</v>
      </c>
      <c r="U190">
        <v>0.02</v>
      </c>
      <c r="AV190" s="1" t="s">
        <v>51</v>
      </c>
      <c r="AW190" s="1" t="s">
        <v>509</v>
      </c>
      <c r="AX190" s="1" t="s">
        <v>51</v>
      </c>
      <c r="AY190" s="1" t="s">
        <v>51</v>
      </c>
      <c r="AZ190" s="1" t="s">
        <v>51</v>
      </c>
    </row>
    <row r="191" spans="1:52" ht="30" customHeight="1" x14ac:dyDescent="0.3">
      <c r="A191" s="19" t="s">
        <v>397</v>
      </c>
      <c r="B191" s="19" t="s">
        <v>296</v>
      </c>
      <c r="C191" s="19" t="s">
        <v>297</v>
      </c>
      <c r="D191" s="20">
        <f>공량산출근거서!K91</f>
        <v>1.9E-2</v>
      </c>
      <c r="E191" s="22">
        <f>단가대비표!O65</f>
        <v>0</v>
      </c>
      <c r="F191" s="25">
        <f>TRUNC(E191*D191,1)</f>
        <v>0</v>
      </c>
      <c r="G191" s="22">
        <f>단가대비표!P65</f>
        <v>436224</v>
      </c>
      <c r="H191" s="25">
        <f>TRUNC(G191*D191,1)</f>
        <v>8288.2000000000007</v>
      </c>
      <c r="I191" s="22">
        <f>단가대비표!V65</f>
        <v>0</v>
      </c>
      <c r="J191" s="25">
        <f>TRUNC(I191*D191,1)</f>
        <v>0</v>
      </c>
      <c r="K191" s="22">
        <f t="shared" si="56"/>
        <v>436224</v>
      </c>
      <c r="L191" s="25">
        <f t="shared" si="56"/>
        <v>8288.2000000000007</v>
      </c>
      <c r="M191" s="19" t="s">
        <v>51</v>
      </c>
      <c r="N191" s="1" t="s">
        <v>179</v>
      </c>
      <c r="O191" s="1" t="s">
        <v>398</v>
      </c>
      <c r="P191" s="1" t="s">
        <v>62</v>
      </c>
      <c r="Q191" s="1" t="s">
        <v>62</v>
      </c>
      <c r="R191" s="1" t="s">
        <v>61</v>
      </c>
      <c r="W191">
        <v>2</v>
      </c>
      <c r="AV191" s="1" t="s">
        <v>51</v>
      </c>
      <c r="AW191" s="1" t="s">
        <v>510</v>
      </c>
      <c r="AX191" s="1" t="s">
        <v>51</v>
      </c>
      <c r="AY191" s="1" t="s">
        <v>51</v>
      </c>
      <c r="AZ191" s="1" t="s">
        <v>51</v>
      </c>
    </row>
    <row r="192" spans="1:52" ht="30" customHeight="1" x14ac:dyDescent="0.3">
      <c r="A192" s="19" t="s">
        <v>280</v>
      </c>
      <c r="B192" s="19" t="s">
        <v>281</v>
      </c>
      <c r="C192" s="19" t="s">
        <v>229</v>
      </c>
      <c r="D192" s="20">
        <v>1</v>
      </c>
      <c r="E192" s="22">
        <v>0</v>
      </c>
      <c r="F192" s="25">
        <f>TRUNC(E192*D192,1)</f>
        <v>0</v>
      </c>
      <c r="G192" s="22">
        <f>TRUNC(SUMIF(W188:W192, RIGHTB(O192, 1), H188:H192)*U192, 2)</f>
        <v>248.64</v>
      </c>
      <c r="H192" s="25">
        <f>TRUNC(G192*D192,1)</f>
        <v>248.6</v>
      </c>
      <c r="I192" s="22">
        <v>0</v>
      </c>
      <c r="J192" s="25">
        <f>TRUNC(I192*D192,1)</f>
        <v>0</v>
      </c>
      <c r="K192" s="22">
        <f t="shared" si="56"/>
        <v>248.6</v>
      </c>
      <c r="L192" s="25">
        <f t="shared" si="56"/>
        <v>248.6</v>
      </c>
      <c r="M192" s="19" t="s">
        <v>51</v>
      </c>
      <c r="N192" s="1" t="s">
        <v>179</v>
      </c>
      <c r="O192" s="1" t="s">
        <v>293</v>
      </c>
      <c r="P192" s="1" t="s">
        <v>62</v>
      </c>
      <c r="Q192" s="1" t="s">
        <v>62</v>
      </c>
      <c r="R192" s="1" t="s">
        <v>62</v>
      </c>
      <c r="S192">
        <v>1</v>
      </c>
      <c r="T192">
        <v>1</v>
      </c>
      <c r="U192">
        <v>0.03</v>
      </c>
      <c r="AV192" s="1" t="s">
        <v>51</v>
      </c>
      <c r="AW192" s="1" t="s">
        <v>511</v>
      </c>
      <c r="AX192" s="1" t="s">
        <v>51</v>
      </c>
      <c r="AY192" s="1" t="s">
        <v>51</v>
      </c>
      <c r="AZ192" s="1" t="s">
        <v>51</v>
      </c>
    </row>
    <row r="193" spans="1:52" ht="30" customHeight="1" x14ac:dyDescent="0.3">
      <c r="A193" s="19" t="s">
        <v>283</v>
      </c>
      <c r="B193" s="19" t="s">
        <v>51</v>
      </c>
      <c r="C193" s="19" t="s">
        <v>51</v>
      </c>
      <c r="D193" s="20"/>
      <c r="E193" s="22"/>
      <c r="F193" s="25">
        <f>TRUNC(SUMIF(N188:N192, N187, F188:F192),0)</f>
        <v>2138</v>
      </c>
      <c r="G193" s="22"/>
      <c r="H193" s="25">
        <f>TRUNC(SUMIF(N188:N192, N187, H188:H192),0)</f>
        <v>8536</v>
      </c>
      <c r="I193" s="22"/>
      <c r="J193" s="25">
        <f>TRUNC(SUMIF(N188:N192, N187, J188:J192),0)</f>
        <v>0</v>
      </c>
      <c r="K193" s="22"/>
      <c r="L193" s="25">
        <f>F193+H193+J193</f>
        <v>10674</v>
      </c>
      <c r="M193" s="19" t="s">
        <v>51</v>
      </c>
      <c r="N193" s="1" t="s">
        <v>83</v>
      </c>
      <c r="O193" s="1" t="s">
        <v>83</v>
      </c>
      <c r="P193" s="1" t="s">
        <v>51</v>
      </c>
      <c r="Q193" s="1" t="s">
        <v>51</v>
      </c>
      <c r="R193" s="1" t="s">
        <v>51</v>
      </c>
      <c r="AV193" s="1" t="s">
        <v>51</v>
      </c>
      <c r="AW193" s="1" t="s">
        <v>51</v>
      </c>
      <c r="AX193" s="1" t="s">
        <v>51</v>
      </c>
      <c r="AY193" s="1" t="s">
        <v>51</v>
      </c>
      <c r="AZ193" s="1" t="s">
        <v>51</v>
      </c>
    </row>
    <row r="194" spans="1:52" ht="30" customHeight="1" x14ac:dyDescent="0.3">
      <c r="A194" s="20"/>
      <c r="B194" s="20"/>
      <c r="C194" s="20"/>
      <c r="D194" s="20"/>
      <c r="E194" s="22"/>
      <c r="F194" s="25"/>
      <c r="G194" s="22"/>
      <c r="H194" s="25"/>
      <c r="I194" s="22"/>
      <c r="J194" s="25"/>
      <c r="K194" s="22"/>
      <c r="L194" s="25"/>
      <c r="M194" s="20"/>
    </row>
    <row r="195" spans="1:52" ht="30" customHeight="1" x14ac:dyDescent="0.3">
      <c r="A195" s="16" t="s">
        <v>512</v>
      </c>
      <c r="B195" s="17"/>
      <c r="C195" s="17"/>
      <c r="D195" s="17"/>
      <c r="E195" s="21"/>
      <c r="F195" s="24"/>
      <c r="G195" s="21"/>
      <c r="H195" s="24"/>
      <c r="I195" s="21"/>
      <c r="J195" s="24"/>
      <c r="K195" s="21"/>
      <c r="L195" s="24"/>
      <c r="M195" s="18"/>
      <c r="N195" s="1" t="s">
        <v>184</v>
      </c>
    </row>
    <row r="196" spans="1:52" ht="30" customHeight="1" x14ac:dyDescent="0.3">
      <c r="A196" s="19" t="s">
        <v>182</v>
      </c>
      <c r="B196" s="19" t="s">
        <v>182</v>
      </c>
      <c r="C196" s="19" t="s">
        <v>66</v>
      </c>
      <c r="D196" s="20">
        <v>1</v>
      </c>
      <c r="E196" s="22">
        <f>단가대비표!O17</f>
        <v>15000</v>
      </c>
      <c r="F196" s="25">
        <f>TRUNC(E196*D196,1)</f>
        <v>15000</v>
      </c>
      <c r="G196" s="22">
        <f>단가대비표!P17</f>
        <v>0</v>
      </c>
      <c r="H196" s="25">
        <f>TRUNC(G196*D196,1)</f>
        <v>0</v>
      </c>
      <c r="I196" s="22">
        <f>단가대비표!V17</f>
        <v>0</v>
      </c>
      <c r="J196" s="25">
        <f>TRUNC(I196*D196,1)</f>
        <v>0</v>
      </c>
      <c r="K196" s="22">
        <f t="shared" ref="K196:L200" si="57">TRUNC(E196+G196+I196,1)</f>
        <v>15000</v>
      </c>
      <c r="L196" s="25">
        <f t="shared" si="57"/>
        <v>15000</v>
      </c>
      <c r="M196" s="19" t="s">
        <v>51</v>
      </c>
      <c r="N196" s="1" t="s">
        <v>184</v>
      </c>
      <c r="O196" s="1" t="s">
        <v>513</v>
      </c>
      <c r="P196" s="1" t="s">
        <v>62</v>
      </c>
      <c r="Q196" s="1" t="s">
        <v>62</v>
      </c>
      <c r="R196" s="1" t="s">
        <v>61</v>
      </c>
      <c r="V196">
        <v>1</v>
      </c>
      <c r="AV196" s="1" t="s">
        <v>51</v>
      </c>
      <c r="AW196" s="1" t="s">
        <v>514</v>
      </c>
      <c r="AX196" s="1" t="s">
        <v>51</v>
      </c>
      <c r="AY196" s="1" t="s">
        <v>51</v>
      </c>
      <c r="AZ196" s="1" t="s">
        <v>51</v>
      </c>
    </row>
    <row r="197" spans="1:52" ht="30" customHeight="1" x14ac:dyDescent="0.3">
      <c r="A197" s="19" t="s">
        <v>182</v>
      </c>
      <c r="B197" s="19" t="s">
        <v>182</v>
      </c>
      <c r="C197" s="19" t="s">
        <v>66</v>
      </c>
      <c r="D197" s="20">
        <v>7.4999999999999997E-2</v>
      </c>
      <c r="E197" s="22">
        <f>단가대비표!O17</f>
        <v>15000</v>
      </c>
      <c r="F197" s="25">
        <f>TRUNC(E197*D197,1)</f>
        <v>1125</v>
      </c>
      <c r="G197" s="22">
        <f>단가대비표!P17</f>
        <v>0</v>
      </c>
      <c r="H197" s="25">
        <f>TRUNC(G197*D197,1)</f>
        <v>0</v>
      </c>
      <c r="I197" s="22">
        <f>단가대비표!V17</f>
        <v>0</v>
      </c>
      <c r="J197" s="25">
        <f>TRUNC(I197*D197,1)</f>
        <v>0</v>
      </c>
      <c r="K197" s="22">
        <f t="shared" si="57"/>
        <v>15000</v>
      </c>
      <c r="L197" s="25">
        <f t="shared" si="57"/>
        <v>1125</v>
      </c>
      <c r="M197" s="19" t="s">
        <v>51</v>
      </c>
      <c r="N197" s="1" t="s">
        <v>184</v>
      </c>
      <c r="O197" s="1" t="s">
        <v>513</v>
      </c>
      <c r="P197" s="1" t="s">
        <v>62</v>
      </c>
      <c r="Q197" s="1" t="s">
        <v>62</v>
      </c>
      <c r="R197" s="1" t="s">
        <v>61</v>
      </c>
      <c r="AV197" s="1" t="s">
        <v>51</v>
      </c>
      <c r="AW197" s="1" t="s">
        <v>514</v>
      </c>
      <c r="AX197" s="1" t="s">
        <v>51</v>
      </c>
      <c r="AY197" s="1" t="s">
        <v>51</v>
      </c>
      <c r="AZ197" s="1" t="s">
        <v>51</v>
      </c>
    </row>
    <row r="198" spans="1:52" ht="30" customHeight="1" x14ac:dyDescent="0.3">
      <c r="A198" s="19" t="s">
        <v>291</v>
      </c>
      <c r="B198" s="19" t="s">
        <v>292</v>
      </c>
      <c r="C198" s="19" t="s">
        <v>229</v>
      </c>
      <c r="D198" s="20">
        <v>1</v>
      </c>
      <c r="E198" s="22">
        <f>TRUNC(SUMIF(V196:V200, RIGHTB(O198, 1), F196:F200)*U198, 2)</f>
        <v>300</v>
      </c>
      <c r="F198" s="25">
        <f>TRUNC(E198*D198,1)</f>
        <v>300</v>
      </c>
      <c r="G198" s="22">
        <v>0</v>
      </c>
      <c r="H198" s="25">
        <f>TRUNC(G198*D198,1)</f>
        <v>0</v>
      </c>
      <c r="I198" s="22">
        <v>0</v>
      </c>
      <c r="J198" s="25">
        <f>TRUNC(I198*D198,1)</f>
        <v>0</v>
      </c>
      <c r="K198" s="22">
        <f t="shared" si="57"/>
        <v>300</v>
      </c>
      <c r="L198" s="25">
        <f t="shared" si="57"/>
        <v>300</v>
      </c>
      <c r="M198" s="19" t="s">
        <v>51</v>
      </c>
      <c r="N198" s="1" t="s">
        <v>184</v>
      </c>
      <c r="O198" s="1" t="s">
        <v>234</v>
      </c>
      <c r="P198" s="1" t="s">
        <v>62</v>
      </c>
      <c r="Q198" s="1" t="s">
        <v>62</v>
      </c>
      <c r="R198" s="1" t="s">
        <v>62</v>
      </c>
      <c r="S198">
        <v>0</v>
      </c>
      <c r="T198">
        <v>0</v>
      </c>
      <c r="U198">
        <v>0.02</v>
      </c>
      <c r="AV198" s="1" t="s">
        <v>51</v>
      </c>
      <c r="AW198" s="1" t="s">
        <v>515</v>
      </c>
      <c r="AX198" s="1" t="s">
        <v>51</v>
      </c>
      <c r="AY198" s="1" t="s">
        <v>51</v>
      </c>
      <c r="AZ198" s="1" t="s">
        <v>51</v>
      </c>
    </row>
    <row r="199" spans="1:52" ht="30" customHeight="1" x14ac:dyDescent="0.3">
      <c r="A199" s="19" t="s">
        <v>397</v>
      </c>
      <c r="B199" s="19" t="s">
        <v>296</v>
      </c>
      <c r="C199" s="19" t="s">
        <v>297</v>
      </c>
      <c r="D199" s="20">
        <f>공량산출근거서!K95</f>
        <v>1.6E-2</v>
      </c>
      <c r="E199" s="22">
        <f>단가대비표!O65</f>
        <v>0</v>
      </c>
      <c r="F199" s="25">
        <f>TRUNC(E199*D199,1)</f>
        <v>0</v>
      </c>
      <c r="G199" s="22">
        <f>단가대비표!P65</f>
        <v>436224</v>
      </c>
      <c r="H199" s="25">
        <f>TRUNC(G199*D199,1)</f>
        <v>6979.5</v>
      </c>
      <c r="I199" s="22">
        <f>단가대비표!V65</f>
        <v>0</v>
      </c>
      <c r="J199" s="25">
        <f>TRUNC(I199*D199,1)</f>
        <v>0</v>
      </c>
      <c r="K199" s="22">
        <f t="shared" si="57"/>
        <v>436224</v>
      </c>
      <c r="L199" s="25">
        <f t="shared" si="57"/>
        <v>6979.5</v>
      </c>
      <c r="M199" s="19" t="s">
        <v>51</v>
      </c>
      <c r="N199" s="1" t="s">
        <v>184</v>
      </c>
      <c r="O199" s="1" t="s">
        <v>398</v>
      </c>
      <c r="P199" s="1" t="s">
        <v>62</v>
      </c>
      <c r="Q199" s="1" t="s">
        <v>62</v>
      </c>
      <c r="R199" s="1" t="s">
        <v>61</v>
      </c>
      <c r="W199">
        <v>2</v>
      </c>
      <c r="AV199" s="1" t="s">
        <v>51</v>
      </c>
      <c r="AW199" s="1" t="s">
        <v>516</v>
      </c>
      <c r="AX199" s="1" t="s">
        <v>51</v>
      </c>
      <c r="AY199" s="1" t="s">
        <v>51</v>
      </c>
      <c r="AZ199" s="1" t="s">
        <v>51</v>
      </c>
    </row>
    <row r="200" spans="1:52" ht="30" customHeight="1" x14ac:dyDescent="0.3">
      <c r="A200" s="19" t="s">
        <v>280</v>
      </c>
      <c r="B200" s="19" t="s">
        <v>281</v>
      </c>
      <c r="C200" s="19" t="s">
        <v>229</v>
      </c>
      <c r="D200" s="20">
        <v>1</v>
      </c>
      <c r="E200" s="22">
        <v>0</v>
      </c>
      <c r="F200" s="25">
        <f>TRUNC(E200*D200,1)</f>
        <v>0</v>
      </c>
      <c r="G200" s="22">
        <f>TRUNC(SUMIF(W196:W200, RIGHTB(O200, 1), H196:H200)*U200, 2)</f>
        <v>209.38</v>
      </c>
      <c r="H200" s="25">
        <f>TRUNC(G200*D200,1)</f>
        <v>209.3</v>
      </c>
      <c r="I200" s="22">
        <v>0</v>
      </c>
      <c r="J200" s="25">
        <f>TRUNC(I200*D200,1)</f>
        <v>0</v>
      </c>
      <c r="K200" s="22">
        <f t="shared" si="57"/>
        <v>209.3</v>
      </c>
      <c r="L200" s="25">
        <f t="shared" si="57"/>
        <v>209.3</v>
      </c>
      <c r="M200" s="19" t="s">
        <v>51</v>
      </c>
      <c r="N200" s="1" t="s">
        <v>184</v>
      </c>
      <c r="O200" s="1" t="s">
        <v>293</v>
      </c>
      <c r="P200" s="1" t="s">
        <v>62</v>
      </c>
      <c r="Q200" s="1" t="s">
        <v>62</v>
      </c>
      <c r="R200" s="1" t="s">
        <v>62</v>
      </c>
      <c r="S200">
        <v>1</v>
      </c>
      <c r="T200">
        <v>1</v>
      </c>
      <c r="U200">
        <v>0.03</v>
      </c>
      <c r="AV200" s="1" t="s">
        <v>51</v>
      </c>
      <c r="AW200" s="1" t="s">
        <v>517</v>
      </c>
      <c r="AX200" s="1" t="s">
        <v>51</v>
      </c>
      <c r="AY200" s="1" t="s">
        <v>51</v>
      </c>
      <c r="AZ200" s="1" t="s">
        <v>51</v>
      </c>
    </row>
    <row r="201" spans="1:52" ht="30" customHeight="1" x14ac:dyDescent="0.3">
      <c r="A201" s="19" t="s">
        <v>283</v>
      </c>
      <c r="B201" s="19" t="s">
        <v>51</v>
      </c>
      <c r="C201" s="19" t="s">
        <v>51</v>
      </c>
      <c r="D201" s="20"/>
      <c r="E201" s="22"/>
      <c r="F201" s="25">
        <f>TRUNC(SUMIF(N196:N200, N195, F196:F200),0)</f>
        <v>16425</v>
      </c>
      <c r="G201" s="22"/>
      <c r="H201" s="25">
        <f>TRUNC(SUMIF(N196:N200, N195, H196:H200),0)</f>
        <v>7188</v>
      </c>
      <c r="I201" s="22"/>
      <c r="J201" s="25">
        <f>TRUNC(SUMIF(N196:N200, N195, J196:J200),0)</f>
        <v>0</v>
      </c>
      <c r="K201" s="22"/>
      <c r="L201" s="25">
        <f>F201+H201+J201</f>
        <v>23613</v>
      </c>
      <c r="M201" s="19" t="s">
        <v>51</v>
      </c>
      <c r="N201" s="1" t="s">
        <v>83</v>
      </c>
      <c r="O201" s="1" t="s">
        <v>83</v>
      </c>
      <c r="P201" s="1" t="s">
        <v>51</v>
      </c>
      <c r="Q201" s="1" t="s">
        <v>51</v>
      </c>
      <c r="R201" s="1" t="s">
        <v>51</v>
      </c>
      <c r="AV201" s="1" t="s">
        <v>51</v>
      </c>
      <c r="AW201" s="1" t="s">
        <v>51</v>
      </c>
      <c r="AX201" s="1" t="s">
        <v>51</v>
      </c>
      <c r="AY201" s="1" t="s">
        <v>51</v>
      </c>
      <c r="AZ201" s="1" t="s">
        <v>51</v>
      </c>
    </row>
    <row r="202" spans="1:52" ht="30" customHeight="1" x14ac:dyDescent="0.3">
      <c r="A202" s="20"/>
      <c r="B202" s="20"/>
      <c r="C202" s="20"/>
      <c r="D202" s="20"/>
      <c r="E202" s="22"/>
      <c r="F202" s="25"/>
      <c r="G202" s="22"/>
      <c r="H202" s="25"/>
      <c r="I202" s="22"/>
      <c r="J202" s="25"/>
      <c r="K202" s="22"/>
      <c r="L202" s="25"/>
      <c r="M202" s="20"/>
    </row>
    <row r="203" spans="1:52" ht="30" customHeight="1" x14ac:dyDescent="0.3">
      <c r="A203" s="16" t="s">
        <v>518</v>
      </c>
      <c r="B203" s="17"/>
      <c r="C203" s="17"/>
      <c r="D203" s="17"/>
      <c r="E203" s="21"/>
      <c r="F203" s="24"/>
      <c r="G203" s="21"/>
      <c r="H203" s="24"/>
      <c r="I203" s="21"/>
      <c r="J203" s="24"/>
      <c r="K203" s="21"/>
      <c r="L203" s="24"/>
      <c r="M203" s="18"/>
      <c r="N203" s="1" t="s">
        <v>189</v>
      </c>
    </row>
    <row r="204" spans="1:52" ht="30" customHeight="1" x14ac:dyDescent="0.3">
      <c r="A204" s="19" t="s">
        <v>519</v>
      </c>
      <c r="B204" s="19" t="s">
        <v>520</v>
      </c>
      <c r="C204" s="19" t="s">
        <v>66</v>
      </c>
      <c r="D204" s="20">
        <v>1</v>
      </c>
      <c r="E204" s="22">
        <f>단가대비표!O15</f>
        <v>930</v>
      </c>
      <c r="F204" s="25">
        <f>TRUNC(E204*D204,1)</f>
        <v>930</v>
      </c>
      <c r="G204" s="22">
        <f>단가대비표!P15</f>
        <v>0</v>
      </c>
      <c r="H204" s="25">
        <f>TRUNC(G204*D204,1)</f>
        <v>0</v>
      </c>
      <c r="I204" s="22">
        <f>단가대비표!V15</f>
        <v>0</v>
      </c>
      <c r="J204" s="25">
        <f>TRUNC(I204*D204,1)</f>
        <v>0</v>
      </c>
      <c r="K204" s="22">
        <f t="shared" ref="K204:L208" si="58">TRUNC(E204+G204+I204,1)</f>
        <v>930</v>
      </c>
      <c r="L204" s="25">
        <f t="shared" si="58"/>
        <v>930</v>
      </c>
      <c r="M204" s="19" t="s">
        <v>51</v>
      </c>
      <c r="N204" s="1" t="s">
        <v>189</v>
      </c>
      <c r="O204" s="1" t="s">
        <v>521</v>
      </c>
      <c r="P204" s="1" t="s">
        <v>62</v>
      </c>
      <c r="Q204" s="1" t="s">
        <v>62</v>
      </c>
      <c r="R204" s="1" t="s">
        <v>61</v>
      </c>
      <c r="V204">
        <v>1</v>
      </c>
      <c r="AV204" s="1" t="s">
        <v>51</v>
      </c>
      <c r="AW204" s="1" t="s">
        <v>522</v>
      </c>
      <c r="AX204" s="1" t="s">
        <v>51</v>
      </c>
      <c r="AY204" s="1" t="s">
        <v>51</v>
      </c>
      <c r="AZ204" s="1" t="s">
        <v>51</v>
      </c>
    </row>
    <row r="205" spans="1:52" ht="30" customHeight="1" x14ac:dyDescent="0.3">
      <c r="A205" s="19" t="s">
        <v>519</v>
      </c>
      <c r="B205" s="19" t="s">
        <v>520</v>
      </c>
      <c r="C205" s="19" t="s">
        <v>66</v>
      </c>
      <c r="D205" s="20">
        <v>7.4999999999999997E-2</v>
      </c>
      <c r="E205" s="22">
        <f>단가대비표!O15</f>
        <v>930</v>
      </c>
      <c r="F205" s="25">
        <f>TRUNC(E205*D205,1)</f>
        <v>69.7</v>
      </c>
      <c r="G205" s="22">
        <f>단가대비표!P15</f>
        <v>0</v>
      </c>
      <c r="H205" s="25">
        <f>TRUNC(G205*D205,1)</f>
        <v>0</v>
      </c>
      <c r="I205" s="22">
        <f>단가대비표!V15</f>
        <v>0</v>
      </c>
      <c r="J205" s="25">
        <f>TRUNC(I205*D205,1)</f>
        <v>0</v>
      </c>
      <c r="K205" s="22">
        <f t="shared" si="58"/>
        <v>930</v>
      </c>
      <c r="L205" s="25">
        <f t="shared" si="58"/>
        <v>69.7</v>
      </c>
      <c r="M205" s="19" t="s">
        <v>51</v>
      </c>
      <c r="N205" s="1" t="s">
        <v>189</v>
      </c>
      <c r="O205" s="1" t="s">
        <v>521</v>
      </c>
      <c r="P205" s="1" t="s">
        <v>62</v>
      </c>
      <c r="Q205" s="1" t="s">
        <v>62</v>
      </c>
      <c r="R205" s="1" t="s">
        <v>61</v>
      </c>
      <c r="AV205" s="1" t="s">
        <v>51</v>
      </c>
      <c r="AW205" s="1" t="s">
        <v>522</v>
      </c>
      <c r="AX205" s="1" t="s">
        <v>51</v>
      </c>
      <c r="AY205" s="1" t="s">
        <v>51</v>
      </c>
      <c r="AZ205" s="1" t="s">
        <v>51</v>
      </c>
    </row>
    <row r="206" spans="1:52" ht="30" customHeight="1" x14ac:dyDescent="0.3">
      <c r="A206" s="19" t="s">
        <v>291</v>
      </c>
      <c r="B206" s="19" t="s">
        <v>292</v>
      </c>
      <c r="C206" s="19" t="s">
        <v>229</v>
      </c>
      <c r="D206" s="20">
        <v>1</v>
      </c>
      <c r="E206" s="22">
        <f>TRUNC(SUMIF(V204:V208, RIGHTB(O206, 1), F204:F208)*U206, 2)</f>
        <v>18.600000000000001</v>
      </c>
      <c r="F206" s="25">
        <f>TRUNC(E206*D206,1)</f>
        <v>18.600000000000001</v>
      </c>
      <c r="G206" s="22">
        <v>0</v>
      </c>
      <c r="H206" s="25">
        <f>TRUNC(G206*D206,1)</f>
        <v>0</v>
      </c>
      <c r="I206" s="22">
        <v>0</v>
      </c>
      <c r="J206" s="25">
        <f>TRUNC(I206*D206,1)</f>
        <v>0</v>
      </c>
      <c r="K206" s="22">
        <f t="shared" si="58"/>
        <v>18.600000000000001</v>
      </c>
      <c r="L206" s="25">
        <f t="shared" si="58"/>
        <v>18.600000000000001</v>
      </c>
      <c r="M206" s="19" t="s">
        <v>51</v>
      </c>
      <c r="N206" s="1" t="s">
        <v>189</v>
      </c>
      <c r="O206" s="1" t="s">
        <v>234</v>
      </c>
      <c r="P206" s="1" t="s">
        <v>62</v>
      </c>
      <c r="Q206" s="1" t="s">
        <v>62</v>
      </c>
      <c r="R206" s="1" t="s">
        <v>62</v>
      </c>
      <c r="S206">
        <v>0</v>
      </c>
      <c r="T206">
        <v>0</v>
      </c>
      <c r="U206">
        <v>0.02</v>
      </c>
      <c r="AV206" s="1" t="s">
        <v>51</v>
      </c>
      <c r="AW206" s="1" t="s">
        <v>523</v>
      </c>
      <c r="AX206" s="1" t="s">
        <v>51</v>
      </c>
      <c r="AY206" s="1" t="s">
        <v>51</v>
      </c>
      <c r="AZ206" s="1" t="s">
        <v>51</v>
      </c>
    </row>
    <row r="207" spans="1:52" ht="30" customHeight="1" x14ac:dyDescent="0.3">
      <c r="A207" s="19" t="s">
        <v>397</v>
      </c>
      <c r="B207" s="19" t="s">
        <v>296</v>
      </c>
      <c r="C207" s="19" t="s">
        <v>297</v>
      </c>
      <c r="D207" s="20">
        <f>공량산출근거서!K99</f>
        <v>1.7999999999999999E-2</v>
      </c>
      <c r="E207" s="22">
        <f>단가대비표!O65</f>
        <v>0</v>
      </c>
      <c r="F207" s="25">
        <f>TRUNC(E207*D207,1)</f>
        <v>0</v>
      </c>
      <c r="G207" s="22">
        <f>단가대비표!P65</f>
        <v>436224</v>
      </c>
      <c r="H207" s="25">
        <f>TRUNC(G207*D207,1)</f>
        <v>7852</v>
      </c>
      <c r="I207" s="22">
        <f>단가대비표!V65</f>
        <v>0</v>
      </c>
      <c r="J207" s="25">
        <f>TRUNC(I207*D207,1)</f>
        <v>0</v>
      </c>
      <c r="K207" s="22">
        <f t="shared" si="58"/>
        <v>436224</v>
      </c>
      <c r="L207" s="25">
        <f t="shared" si="58"/>
        <v>7852</v>
      </c>
      <c r="M207" s="19" t="s">
        <v>51</v>
      </c>
      <c r="N207" s="1" t="s">
        <v>189</v>
      </c>
      <c r="O207" s="1" t="s">
        <v>398</v>
      </c>
      <c r="P207" s="1" t="s">
        <v>62</v>
      </c>
      <c r="Q207" s="1" t="s">
        <v>62</v>
      </c>
      <c r="R207" s="1" t="s">
        <v>61</v>
      </c>
      <c r="W207">
        <v>2</v>
      </c>
      <c r="AV207" s="1" t="s">
        <v>51</v>
      </c>
      <c r="AW207" s="1" t="s">
        <v>524</v>
      </c>
      <c r="AX207" s="1" t="s">
        <v>51</v>
      </c>
      <c r="AY207" s="1" t="s">
        <v>51</v>
      </c>
      <c r="AZ207" s="1" t="s">
        <v>51</v>
      </c>
    </row>
    <row r="208" spans="1:52" ht="30" customHeight="1" x14ac:dyDescent="0.3">
      <c r="A208" s="19" t="s">
        <v>280</v>
      </c>
      <c r="B208" s="19" t="s">
        <v>281</v>
      </c>
      <c r="C208" s="19" t="s">
        <v>229</v>
      </c>
      <c r="D208" s="20">
        <v>1</v>
      </c>
      <c r="E208" s="22">
        <v>0</v>
      </c>
      <c r="F208" s="25">
        <f>TRUNC(E208*D208,1)</f>
        <v>0</v>
      </c>
      <c r="G208" s="22">
        <f>TRUNC(SUMIF(W204:W208, RIGHTB(O208, 1), H204:H208)*U208, 2)</f>
        <v>235.56</v>
      </c>
      <c r="H208" s="25">
        <f>TRUNC(G208*D208,1)</f>
        <v>235.5</v>
      </c>
      <c r="I208" s="22">
        <v>0</v>
      </c>
      <c r="J208" s="25">
        <f>TRUNC(I208*D208,1)</f>
        <v>0</v>
      </c>
      <c r="K208" s="22">
        <f t="shared" si="58"/>
        <v>235.5</v>
      </c>
      <c r="L208" s="25">
        <f t="shared" si="58"/>
        <v>235.5</v>
      </c>
      <c r="M208" s="19" t="s">
        <v>51</v>
      </c>
      <c r="N208" s="1" t="s">
        <v>189</v>
      </c>
      <c r="O208" s="1" t="s">
        <v>293</v>
      </c>
      <c r="P208" s="1" t="s">
        <v>62</v>
      </c>
      <c r="Q208" s="1" t="s">
        <v>62</v>
      </c>
      <c r="R208" s="1" t="s">
        <v>62</v>
      </c>
      <c r="S208">
        <v>1</v>
      </c>
      <c r="T208">
        <v>1</v>
      </c>
      <c r="U208">
        <v>0.03</v>
      </c>
      <c r="AV208" s="1" t="s">
        <v>51</v>
      </c>
      <c r="AW208" s="1" t="s">
        <v>525</v>
      </c>
      <c r="AX208" s="1" t="s">
        <v>51</v>
      </c>
      <c r="AY208" s="1" t="s">
        <v>51</v>
      </c>
      <c r="AZ208" s="1" t="s">
        <v>51</v>
      </c>
    </row>
    <row r="209" spans="1:52" ht="30" customHeight="1" x14ac:dyDescent="0.3">
      <c r="A209" s="19" t="s">
        <v>283</v>
      </c>
      <c r="B209" s="19" t="s">
        <v>51</v>
      </c>
      <c r="C209" s="19" t="s">
        <v>51</v>
      </c>
      <c r="D209" s="20"/>
      <c r="E209" s="22"/>
      <c r="F209" s="25">
        <f>TRUNC(SUMIF(N204:N208, N203, F204:F208),0)</f>
        <v>1018</v>
      </c>
      <c r="G209" s="22"/>
      <c r="H209" s="25">
        <f>TRUNC(SUMIF(N204:N208, N203, H204:H208),0)</f>
        <v>8087</v>
      </c>
      <c r="I209" s="22"/>
      <c r="J209" s="25">
        <f>TRUNC(SUMIF(N204:N208, N203, J204:J208),0)</f>
        <v>0</v>
      </c>
      <c r="K209" s="22"/>
      <c r="L209" s="25">
        <f>F209+H209+J209</f>
        <v>9105</v>
      </c>
      <c r="M209" s="19" t="s">
        <v>51</v>
      </c>
      <c r="N209" s="1" t="s">
        <v>83</v>
      </c>
      <c r="O209" s="1" t="s">
        <v>83</v>
      </c>
      <c r="P209" s="1" t="s">
        <v>51</v>
      </c>
      <c r="Q209" s="1" t="s">
        <v>51</v>
      </c>
      <c r="R209" s="1" t="s">
        <v>51</v>
      </c>
      <c r="AV209" s="1" t="s">
        <v>51</v>
      </c>
      <c r="AW209" s="1" t="s">
        <v>51</v>
      </c>
      <c r="AX209" s="1" t="s">
        <v>51</v>
      </c>
      <c r="AY209" s="1" t="s">
        <v>51</v>
      </c>
      <c r="AZ209" s="1" t="s">
        <v>51</v>
      </c>
    </row>
    <row r="210" spans="1:52" ht="30" customHeight="1" x14ac:dyDescent="0.3">
      <c r="A210" s="20"/>
      <c r="B210" s="20"/>
      <c r="C210" s="20"/>
      <c r="D210" s="20"/>
      <c r="E210" s="22"/>
      <c r="F210" s="25"/>
      <c r="G210" s="22"/>
      <c r="H210" s="25"/>
      <c r="I210" s="22"/>
      <c r="J210" s="25"/>
      <c r="K210" s="22"/>
      <c r="L210" s="25"/>
      <c r="M210" s="20"/>
    </row>
    <row r="211" spans="1:52" ht="30" customHeight="1" x14ac:dyDescent="0.3">
      <c r="A211" s="16" t="s">
        <v>526</v>
      </c>
      <c r="B211" s="17"/>
      <c r="C211" s="17"/>
      <c r="D211" s="17"/>
      <c r="E211" s="21"/>
      <c r="F211" s="24"/>
      <c r="G211" s="21"/>
      <c r="H211" s="24"/>
      <c r="I211" s="21"/>
      <c r="J211" s="24"/>
      <c r="K211" s="21"/>
      <c r="L211" s="24"/>
      <c r="M211" s="18"/>
      <c r="N211" s="1" t="s">
        <v>194</v>
      </c>
    </row>
    <row r="212" spans="1:52" ht="30" customHeight="1" x14ac:dyDescent="0.3">
      <c r="A212" s="19" t="s">
        <v>527</v>
      </c>
      <c r="B212" s="19" t="s">
        <v>528</v>
      </c>
      <c r="C212" s="19" t="s">
        <v>66</v>
      </c>
      <c r="D212" s="20">
        <v>1</v>
      </c>
      <c r="E212" s="22">
        <f>단가대비표!O16</f>
        <v>1430</v>
      </c>
      <c r="F212" s="25">
        <f>TRUNC(E212*D212,1)</f>
        <v>1430</v>
      </c>
      <c r="G212" s="22">
        <f>단가대비표!P16</f>
        <v>0</v>
      </c>
      <c r="H212" s="25">
        <f>TRUNC(G212*D212,1)</f>
        <v>0</v>
      </c>
      <c r="I212" s="22">
        <f>단가대비표!V16</f>
        <v>0</v>
      </c>
      <c r="J212" s="25">
        <f>TRUNC(I212*D212,1)</f>
        <v>0</v>
      </c>
      <c r="K212" s="22">
        <f t="shared" ref="K212:L216" si="59">TRUNC(E212+G212+I212,1)</f>
        <v>1430</v>
      </c>
      <c r="L212" s="25">
        <f t="shared" si="59"/>
        <v>1430</v>
      </c>
      <c r="M212" s="19" t="s">
        <v>51</v>
      </c>
      <c r="N212" s="1" t="s">
        <v>194</v>
      </c>
      <c r="O212" s="1" t="s">
        <v>529</v>
      </c>
      <c r="P212" s="1" t="s">
        <v>62</v>
      </c>
      <c r="Q212" s="1" t="s">
        <v>62</v>
      </c>
      <c r="R212" s="1" t="s">
        <v>61</v>
      </c>
      <c r="V212">
        <v>1</v>
      </c>
      <c r="AV212" s="1" t="s">
        <v>51</v>
      </c>
      <c r="AW212" s="1" t="s">
        <v>530</v>
      </c>
      <c r="AX212" s="1" t="s">
        <v>51</v>
      </c>
      <c r="AY212" s="1" t="s">
        <v>51</v>
      </c>
      <c r="AZ212" s="1" t="s">
        <v>51</v>
      </c>
    </row>
    <row r="213" spans="1:52" ht="30" customHeight="1" x14ac:dyDescent="0.3">
      <c r="A213" s="19" t="s">
        <v>527</v>
      </c>
      <c r="B213" s="19" t="s">
        <v>528</v>
      </c>
      <c r="C213" s="19" t="s">
        <v>66</v>
      </c>
      <c r="D213" s="20">
        <v>7.4999999999999997E-2</v>
      </c>
      <c r="E213" s="22">
        <f>단가대비표!O16</f>
        <v>1430</v>
      </c>
      <c r="F213" s="25">
        <f>TRUNC(E213*D213,1)</f>
        <v>107.2</v>
      </c>
      <c r="G213" s="22">
        <f>단가대비표!P16</f>
        <v>0</v>
      </c>
      <c r="H213" s="25">
        <f>TRUNC(G213*D213,1)</f>
        <v>0</v>
      </c>
      <c r="I213" s="22">
        <f>단가대비표!V16</f>
        <v>0</v>
      </c>
      <c r="J213" s="25">
        <f>TRUNC(I213*D213,1)</f>
        <v>0</v>
      </c>
      <c r="K213" s="22">
        <f t="shared" si="59"/>
        <v>1430</v>
      </c>
      <c r="L213" s="25">
        <f t="shared" si="59"/>
        <v>107.2</v>
      </c>
      <c r="M213" s="19" t="s">
        <v>51</v>
      </c>
      <c r="N213" s="1" t="s">
        <v>194</v>
      </c>
      <c r="O213" s="1" t="s">
        <v>529</v>
      </c>
      <c r="P213" s="1" t="s">
        <v>62</v>
      </c>
      <c r="Q213" s="1" t="s">
        <v>62</v>
      </c>
      <c r="R213" s="1" t="s">
        <v>61</v>
      </c>
      <c r="AV213" s="1" t="s">
        <v>51</v>
      </c>
      <c r="AW213" s="1" t="s">
        <v>530</v>
      </c>
      <c r="AX213" s="1" t="s">
        <v>51</v>
      </c>
      <c r="AY213" s="1" t="s">
        <v>51</v>
      </c>
      <c r="AZ213" s="1" t="s">
        <v>51</v>
      </c>
    </row>
    <row r="214" spans="1:52" ht="30" customHeight="1" x14ac:dyDescent="0.3">
      <c r="A214" s="19" t="s">
        <v>291</v>
      </c>
      <c r="B214" s="19" t="s">
        <v>292</v>
      </c>
      <c r="C214" s="19" t="s">
        <v>229</v>
      </c>
      <c r="D214" s="20">
        <v>1</v>
      </c>
      <c r="E214" s="22">
        <f>TRUNC(SUMIF(V212:V216, RIGHTB(O214, 1), F212:F216)*U214, 2)</f>
        <v>28.6</v>
      </c>
      <c r="F214" s="25">
        <f>TRUNC(E214*D214,1)</f>
        <v>28.6</v>
      </c>
      <c r="G214" s="22">
        <v>0</v>
      </c>
      <c r="H214" s="25">
        <f>TRUNC(G214*D214,1)</f>
        <v>0</v>
      </c>
      <c r="I214" s="22">
        <v>0</v>
      </c>
      <c r="J214" s="25">
        <f>TRUNC(I214*D214,1)</f>
        <v>0</v>
      </c>
      <c r="K214" s="22">
        <f t="shared" si="59"/>
        <v>28.6</v>
      </c>
      <c r="L214" s="25">
        <f t="shared" si="59"/>
        <v>28.6</v>
      </c>
      <c r="M214" s="19" t="s">
        <v>51</v>
      </c>
      <c r="N214" s="1" t="s">
        <v>194</v>
      </c>
      <c r="O214" s="1" t="s">
        <v>234</v>
      </c>
      <c r="P214" s="1" t="s">
        <v>62</v>
      </c>
      <c r="Q214" s="1" t="s">
        <v>62</v>
      </c>
      <c r="R214" s="1" t="s">
        <v>62</v>
      </c>
      <c r="S214">
        <v>0</v>
      </c>
      <c r="T214">
        <v>0</v>
      </c>
      <c r="U214">
        <v>0.02</v>
      </c>
      <c r="AV214" s="1" t="s">
        <v>51</v>
      </c>
      <c r="AW214" s="1" t="s">
        <v>531</v>
      </c>
      <c r="AX214" s="1" t="s">
        <v>51</v>
      </c>
      <c r="AY214" s="1" t="s">
        <v>51</v>
      </c>
      <c r="AZ214" s="1" t="s">
        <v>51</v>
      </c>
    </row>
    <row r="215" spans="1:52" ht="30" customHeight="1" x14ac:dyDescent="0.3">
      <c r="A215" s="19" t="s">
        <v>397</v>
      </c>
      <c r="B215" s="19" t="s">
        <v>296</v>
      </c>
      <c r="C215" s="19" t="s">
        <v>297</v>
      </c>
      <c r="D215" s="20">
        <f>공량산출근거서!K103</f>
        <v>2.4E-2</v>
      </c>
      <c r="E215" s="22">
        <f>단가대비표!O65</f>
        <v>0</v>
      </c>
      <c r="F215" s="25">
        <f>TRUNC(E215*D215,1)</f>
        <v>0</v>
      </c>
      <c r="G215" s="22">
        <f>단가대비표!P65</f>
        <v>436224</v>
      </c>
      <c r="H215" s="25">
        <f>TRUNC(G215*D215,1)</f>
        <v>10469.299999999999</v>
      </c>
      <c r="I215" s="22">
        <f>단가대비표!V65</f>
        <v>0</v>
      </c>
      <c r="J215" s="25">
        <f>TRUNC(I215*D215,1)</f>
        <v>0</v>
      </c>
      <c r="K215" s="22">
        <f t="shared" si="59"/>
        <v>436224</v>
      </c>
      <c r="L215" s="25">
        <f t="shared" si="59"/>
        <v>10469.299999999999</v>
      </c>
      <c r="M215" s="19" t="s">
        <v>51</v>
      </c>
      <c r="N215" s="1" t="s">
        <v>194</v>
      </c>
      <c r="O215" s="1" t="s">
        <v>398</v>
      </c>
      <c r="P215" s="1" t="s">
        <v>62</v>
      </c>
      <c r="Q215" s="1" t="s">
        <v>62</v>
      </c>
      <c r="R215" s="1" t="s">
        <v>61</v>
      </c>
      <c r="W215">
        <v>2</v>
      </c>
      <c r="AV215" s="1" t="s">
        <v>51</v>
      </c>
      <c r="AW215" s="1" t="s">
        <v>532</v>
      </c>
      <c r="AX215" s="1" t="s">
        <v>51</v>
      </c>
      <c r="AY215" s="1" t="s">
        <v>51</v>
      </c>
      <c r="AZ215" s="1" t="s">
        <v>51</v>
      </c>
    </row>
    <row r="216" spans="1:52" ht="30" customHeight="1" x14ac:dyDescent="0.3">
      <c r="A216" s="19" t="s">
        <v>280</v>
      </c>
      <c r="B216" s="19" t="s">
        <v>281</v>
      </c>
      <c r="C216" s="19" t="s">
        <v>229</v>
      </c>
      <c r="D216" s="20">
        <v>1</v>
      </c>
      <c r="E216" s="22">
        <v>0</v>
      </c>
      <c r="F216" s="25">
        <f>TRUNC(E216*D216,1)</f>
        <v>0</v>
      </c>
      <c r="G216" s="22">
        <f>TRUNC(SUMIF(W212:W216, RIGHTB(O216, 1), H212:H216)*U216, 2)</f>
        <v>314.07</v>
      </c>
      <c r="H216" s="25">
        <f>TRUNC(G216*D216,1)</f>
        <v>314</v>
      </c>
      <c r="I216" s="22">
        <v>0</v>
      </c>
      <c r="J216" s="25">
        <f>TRUNC(I216*D216,1)</f>
        <v>0</v>
      </c>
      <c r="K216" s="22">
        <f t="shared" si="59"/>
        <v>314</v>
      </c>
      <c r="L216" s="25">
        <f t="shared" si="59"/>
        <v>314</v>
      </c>
      <c r="M216" s="19" t="s">
        <v>51</v>
      </c>
      <c r="N216" s="1" t="s">
        <v>194</v>
      </c>
      <c r="O216" s="1" t="s">
        <v>293</v>
      </c>
      <c r="P216" s="1" t="s">
        <v>62</v>
      </c>
      <c r="Q216" s="1" t="s">
        <v>62</v>
      </c>
      <c r="R216" s="1" t="s">
        <v>62</v>
      </c>
      <c r="S216">
        <v>1</v>
      </c>
      <c r="T216">
        <v>1</v>
      </c>
      <c r="U216">
        <v>0.03</v>
      </c>
      <c r="AV216" s="1" t="s">
        <v>51</v>
      </c>
      <c r="AW216" s="1" t="s">
        <v>533</v>
      </c>
      <c r="AX216" s="1" t="s">
        <v>51</v>
      </c>
      <c r="AY216" s="1" t="s">
        <v>51</v>
      </c>
      <c r="AZ216" s="1" t="s">
        <v>51</v>
      </c>
    </row>
    <row r="217" spans="1:52" ht="30" customHeight="1" x14ac:dyDescent="0.3">
      <c r="A217" s="19" t="s">
        <v>283</v>
      </c>
      <c r="B217" s="19" t="s">
        <v>51</v>
      </c>
      <c r="C217" s="19" t="s">
        <v>51</v>
      </c>
      <c r="D217" s="20"/>
      <c r="E217" s="22"/>
      <c r="F217" s="25">
        <f>TRUNC(SUMIF(N212:N216, N211, F212:F216),0)</f>
        <v>1565</v>
      </c>
      <c r="G217" s="22"/>
      <c r="H217" s="25">
        <f>TRUNC(SUMIF(N212:N216, N211, H212:H216),0)</f>
        <v>10783</v>
      </c>
      <c r="I217" s="22"/>
      <c r="J217" s="25">
        <f>TRUNC(SUMIF(N212:N216, N211, J212:J216),0)</f>
        <v>0</v>
      </c>
      <c r="K217" s="22"/>
      <c r="L217" s="25">
        <f>F217+H217+J217</f>
        <v>12348</v>
      </c>
      <c r="M217" s="19" t="s">
        <v>51</v>
      </c>
      <c r="N217" s="1" t="s">
        <v>83</v>
      </c>
      <c r="O217" s="1" t="s">
        <v>83</v>
      </c>
      <c r="P217" s="1" t="s">
        <v>51</v>
      </c>
      <c r="Q217" s="1" t="s">
        <v>51</v>
      </c>
      <c r="R217" s="1" t="s">
        <v>51</v>
      </c>
      <c r="AV217" s="1" t="s">
        <v>51</v>
      </c>
      <c r="AW217" s="1" t="s">
        <v>51</v>
      </c>
      <c r="AX217" s="1" t="s">
        <v>51</v>
      </c>
      <c r="AY217" s="1" t="s">
        <v>51</v>
      </c>
      <c r="AZ217" s="1" t="s">
        <v>51</v>
      </c>
    </row>
    <row r="218" spans="1:52" ht="30" customHeight="1" x14ac:dyDescent="0.3">
      <c r="A218" s="20"/>
      <c r="B218" s="20"/>
      <c r="C218" s="20"/>
      <c r="D218" s="20"/>
      <c r="E218" s="22"/>
      <c r="F218" s="25"/>
      <c r="G218" s="22"/>
      <c r="H218" s="25"/>
      <c r="I218" s="22"/>
      <c r="J218" s="25"/>
      <c r="K218" s="22"/>
      <c r="L218" s="25"/>
      <c r="M218" s="20"/>
    </row>
    <row r="219" spans="1:52" ht="30" customHeight="1" x14ac:dyDescent="0.3">
      <c r="A219" s="16" t="s">
        <v>534</v>
      </c>
      <c r="B219" s="17"/>
      <c r="C219" s="17"/>
      <c r="D219" s="17"/>
      <c r="E219" s="21"/>
      <c r="F219" s="24"/>
      <c r="G219" s="21"/>
      <c r="H219" s="24"/>
      <c r="I219" s="21"/>
      <c r="J219" s="24"/>
      <c r="K219" s="21"/>
      <c r="L219" s="24"/>
      <c r="M219" s="18"/>
      <c r="N219" s="1" t="s">
        <v>204</v>
      </c>
    </row>
    <row r="220" spans="1:52" ht="30" customHeight="1" x14ac:dyDescent="0.3">
      <c r="A220" s="19" t="s">
        <v>535</v>
      </c>
      <c r="B220" s="19" t="s">
        <v>536</v>
      </c>
      <c r="C220" s="19" t="s">
        <v>66</v>
      </c>
      <c r="D220" s="20">
        <v>1</v>
      </c>
      <c r="E220" s="22">
        <f>단가대비표!O8</f>
        <v>2545</v>
      </c>
      <c r="F220" s="25">
        <f>TRUNC(E220*D220,1)</f>
        <v>2545</v>
      </c>
      <c r="G220" s="22">
        <f>단가대비표!P8</f>
        <v>0</v>
      </c>
      <c r="H220" s="25">
        <f>TRUNC(G220*D220,1)</f>
        <v>0</v>
      </c>
      <c r="I220" s="22">
        <f>단가대비표!V8</f>
        <v>0</v>
      </c>
      <c r="J220" s="25">
        <f>TRUNC(I220*D220,1)</f>
        <v>0</v>
      </c>
      <c r="K220" s="22">
        <f t="shared" ref="K220:L224" si="60">TRUNC(E220+G220+I220,1)</f>
        <v>2545</v>
      </c>
      <c r="L220" s="25">
        <f t="shared" si="60"/>
        <v>2545</v>
      </c>
      <c r="M220" s="19" t="s">
        <v>51</v>
      </c>
      <c r="N220" s="1" t="s">
        <v>204</v>
      </c>
      <c r="O220" s="1" t="s">
        <v>537</v>
      </c>
      <c r="P220" s="1" t="s">
        <v>62</v>
      </c>
      <c r="Q220" s="1" t="s">
        <v>62</v>
      </c>
      <c r="R220" s="1" t="s">
        <v>61</v>
      </c>
      <c r="V220">
        <v>1</v>
      </c>
      <c r="AV220" s="1" t="s">
        <v>51</v>
      </c>
      <c r="AW220" s="1" t="s">
        <v>538</v>
      </c>
      <c r="AX220" s="1" t="s">
        <v>51</v>
      </c>
      <c r="AY220" s="1" t="s">
        <v>51</v>
      </c>
      <c r="AZ220" s="1" t="s">
        <v>51</v>
      </c>
    </row>
    <row r="221" spans="1:52" ht="30" customHeight="1" x14ac:dyDescent="0.3">
      <c r="A221" s="19" t="s">
        <v>535</v>
      </c>
      <c r="B221" s="19" t="s">
        <v>536</v>
      </c>
      <c r="C221" s="19" t="s">
        <v>66</v>
      </c>
      <c r="D221" s="20">
        <v>0.1</v>
      </c>
      <c r="E221" s="22">
        <f>단가대비표!O8</f>
        <v>2545</v>
      </c>
      <c r="F221" s="25">
        <f>TRUNC(E221*D221,1)</f>
        <v>254.5</v>
      </c>
      <c r="G221" s="22">
        <f>단가대비표!P8</f>
        <v>0</v>
      </c>
      <c r="H221" s="25">
        <f>TRUNC(G221*D221,1)</f>
        <v>0</v>
      </c>
      <c r="I221" s="22">
        <f>단가대비표!V8</f>
        <v>0</v>
      </c>
      <c r="J221" s="25">
        <f>TRUNC(I221*D221,1)</f>
        <v>0</v>
      </c>
      <c r="K221" s="22">
        <f t="shared" si="60"/>
        <v>2545</v>
      </c>
      <c r="L221" s="25">
        <f t="shared" si="60"/>
        <v>254.5</v>
      </c>
      <c r="M221" s="19" t="s">
        <v>51</v>
      </c>
      <c r="N221" s="1" t="s">
        <v>204</v>
      </c>
      <c r="O221" s="1" t="s">
        <v>537</v>
      </c>
      <c r="P221" s="1" t="s">
        <v>62</v>
      </c>
      <c r="Q221" s="1" t="s">
        <v>62</v>
      </c>
      <c r="R221" s="1" t="s">
        <v>61</v>
      </c>
      <c r="AV221" s="1" t="s">
        <v>51</v>
      </c>
      <c r="AW221" s="1" t="s">
        <v>538</v>
      </c>
      <c r="AX221" s="1" t="s">
        <v>51</v>
      </c>
      <c r="AY221" s="1" t="s">
        <v>51</v>
      </c>
      <c r="AZ221" s="1" t="s">
        <v>51</v>
      </c>
    </row>
    <row r="222" spans="1:52" ht="30" customHeight="1" x14ac:dyDescent="0.3">
      <c r="A222" s="19" t="s">
        <v>291</v>
      </c>
      <c r="B222" s="19" t="s">
        <v>493</v>
      </c>
      <c r="C222" s="19" t="s">
        <v>229</v>
      </c>
      <c r="D222" s="20">
        <v>1</v>
      </c>
      <c r="E222" s="22">
        <f>TRUNC(SUMIF(V220:V224, RIGHTB(O222, 1), F220:F224)*U222, 2)</f>
        <v>50.9</v>
      </c>
      <c r="F222" s="25">
        <f>TRUNC(E222*D222,1)</f>
        <v>50.9</v>
      </c>
      <c r="G222" s="22">
        <v>0</v>
      </c>
      <c r="H222" s="25">
        <f>TRUNC(G222*D222,1)</f>
        <v>0</v>
      </c>
      <c r="I222" s="22">
        <v>0</v>
      </c>
      <c r="J222" s="25">
        <f>TRUNC(I222*D222,1)</f>
        <v>0</v>
      </c>
      <c r="K222" s="22">
        <f t="shared" si="60"/>
        <v>50.9</v>
      </c>
      <c r="L222" s="25">
        <f t="shared" si="60"/>
        <v>50.9</v>
      </c>
      <c r="M222" s="19" t="s">
        <v>51</v>
      </c>
      <c r="N222" s="1" t="s">
        <v>204</v>
      </c>
      <c r="O222" s="1" t="s">
        <v>234</v>
      </c>
      <c r="P222" s="1" t="s">
        <v>62</v>
      </c>
      <c r="Q222" s="1" t="s">
        <v>62</v>
      </c>
      <c r="R222" s="1" t="s">
        <v>62</v>
      </c>
      <c r="S222">
        <v>0</v>
      </c>
      <c r="T222">
        <v>0</v>
      </c>
      <c r="U222">
        <v>0.02</v>
      </c>
      <c r="AV222" s="1" t="s">
        <v>51</v>
      </c>
      <c r="AW222" s="1" t="s">
        <v>539</v>
      </c>
      <c r="AX222" s="1" t="s">
        <v>51</v>
      </c>
      <c r="AY222" s="1" t="s">
        <v>51</v>
      </c>
      <c r="AZ222" s="1" t="s">
        <v>51</v>
      </c>
    </row>
    <row r="223" spans="1:52" ht="30" customHeight="1" x14ac:dyDescent="0.3">
      <c r="A223" s="19" t="s">
        <v>408</v>
      </c>
      <c r="B223" s="19" t="s">
        <v>296</v>
      </c>
      <c r="C223" s="19" t="s">
        <v>297</v>
      </c>
      <c r="D223" s="20">
        <f>공량산출근거서!K106</f>
        <v>1.0800000000000001E-2</v>
      </c>
      <c r="E223" s="22">
        <f>단가대비표!O64</f>
        <v>0</v>
      </c>
      <c r="F223" s="25">
        <f>TRUNC(E223*D223,1)</f>
        <v>0</v>
      </c>
      <c r="G223" s="22">
        <f>단가대비표!P64</f>
        <v>408942</v>
      </c>
      <c r="H223" s="25">
        <f>TRUNC(G223*D223,1)</f>
        <v>4416.5</v>
      </c>
      <c r="I223" s="22">
        <f>단가대비표!V64</f>
        <v>0</v>
      </c>
      <c r="J223" s="25">
        <f>TRUNC(I223*D223,1)</f>
        <v>0</v>
      </c>
      <c r="K223" s="22">
        <f t="shared" si="60"/>
        <v>408942</v>
      </c>
      <c r="L223" s="25">
        <f t="shared" si="60"/>
        <v>4416.5</v>
      </c>
      <c r="M223" s="19" t="s">
        <v>51</v>
      </c>
      <c r="N223" s="1" t="s">
        <v>204</v>
      </c>
      <c r="O223" s="1" t="s">
        <v>409</v>
      </c>
      <c r="P223" s="1" t="s">
        <v>62</v>
      </c>
      <c r="Q223" s="1" t="s">
        <v>62</v>
      </c>
      <c r="R223" s="1" t="s">
        <v>61</v>
      </c>
      <c r="W223">
        <v>2</v>
      </c>
      <c r="AV223" s="1" t="s">
        <v>51</v>
      </c>
      <c r="AW223" s="1" t="s">
        <v>540</v>
      </c>
      <c r="AX223" s="1" t="s">
        <v>51</v>
      </c>
      <c r="AY223" s="1" t="s">
        <v>51</v>
      </c>
      <c r="AZ223" s="1" t="s">
        <v>51</v>
      </c>
    </row>
    <row r="224" spans="1:52" ht="30" customHeight="1" x14ac:dyDescent="0.3">
      <c r="A224" s="19" t="s">
        <v>280</v>
      </c>
      <c r="B224" s="19" t="s">
        <v>281</v>
      </c>
      <c r="C224" s="19" t="s">
        <v>229</v>
      </c>
      <c r="D224" s="20">
        <v>1</v>
      </c>
      <c r="E224" s="22">
        <f>TRUNC(SUMIF(W220:W224, RIGHTB(O224, 1), H220:H224)*U224, 2)</f>
        <v>132.49</v>
      </c>
      <c r="F224" s="25">
        <f>TRUNC(E224*D224,1)</f>
        <v>132.4</v>
      </c>
      <c r="G224" s="22">
        <v>0</v>
      </c>
      <c r="H224" s="25">
        <f>TRUNC(G224*D224,1)</f>
        <v>0</v>
      </c>
      <c r="I224" s="22">
        <v>0</v>
      </c>
      <c r="J224" s="25">
        <f>TRUNC(I224*D224,1)</f>
        <v>0</v>
      </c>
      <c r="K224" s="22">
        <f t="shared" si="60"/>
        <v>132.4</v>
      </c>
      <c r="L224" s="25">
        <f t="shared" si="60"/>
        <v>132.4</v>
      </c>
      <c r="M224" s="19" t="s">
        <v>51</v>
      </c>
      <c r="N224" s="1" t="s">
        <v>204</v>
      </c>
      <c r="O224" s="1" t="s">
        <v>293</v>
      </c>
      <c r="P224" s="1" t="s">
        <v>62</v>
      </c>
      <c r="Q224" s="1" t="s">
        <v>62</v>
      </c>
      <c r="R224" s="1" t="s">
        <v>62</v>
      </c>
      <c r="S224">
        <v>1</v>
      </c>
      <c r="T224">
        <v>0</v>
      </c>
      <c r="U224">
        <v>0.03</v>
      </c>
      <c r="AV224" s="1" t="s">
        <v>51</v>
      </c>
      <c r="AW224" s="1" t="s">
        <v>541</v>
      </c>
      <c r="AX224" s="1" t="s">
        <v>51</v>
      </c>
      <c r="AY224" s="1" t="s">
        <v>51</v>
      </c>
      <c r="AZ224" s="1" t="s">
        <v>51</v>
      </c>
    </row>
    <row r="225" spans="1:52" ht="30" customHeight="1" x14ac:dyDescent="0.3">
      <c r="A225" s="19" t="s">
        <v>283</v>
      </c>
      <c r="B225" s="19" t="s">
        <v>51</v>
      </c>
      <c r="C225" s="19" t="s">
        <v>51</v>
      </c>
      <c r="D225" s="20"/>
      <c r="E225" s="22"/>
      <c r="F225" s="25">
        <f>TRUNC(SUMIF(N220:N224, N219, F220:F224),0)</f>
        <v>2982</v>
      </c>
      <c r="G225" s="22"/>
      <c r="H225" s="25">
        <f>TRUNC(SUMIF(N220:N224, N219, H220:H224),0)</f>
        <v>4416</v>
      </c>
      <c r="I225" s="22"/>
      <c r="J225" s="25">
        <f>TRUNC(SUMIF(N220:N224, N219, J220:J224),0)</f>
        <v>0</v>
      </c>
      <c r="K225" s="22"/>
      <c r="L225" s="25">
        <f>F225+H225+J225</f>
        <v>7398</v>
      </c>
      <c r="M225" s="19" t="s">
        <v>51</v>
      </c>
      <c r="N225" s="1" t="s">
        <v>83</v>
      </c>
      <c r="O225" s="1" t="s">
        <v>83</v>
      </c>
      <c r="P225" s="1" t="s">
        <v>51</v>
      </c>
      <c r="Q225" s="1" t="s">
        <v>51</v>
      </c>
      <c r="R225" s="1" t="s">
        <v>51</v>
      </c>
      <c r="AV225" s="1" t="s">
        <v>51</v>
      </c>
      <c r="AW225" s="1" t="s">
        <v>51</v>
      </c>
      <c r="AX225" s="1" t="s">
        <v>51</v>
      </c>
      <c r="AY225" s="1" t="s">
        <v>51</v>
      </c>
      <c r="AZ225" s="1" t="s">
        <v>51</v>
      </c>
    </row>
    <row r="226" spans="1:52" ht="30" customHeight="1" x14ac:dyDescent="0.3">
      <c r="A226" s="20"/>
      <c r="B226" s="20"/>
      <c r="C226" s="20"/>
      <c r="D226" s="20"/>
      <c r="E226" s="22"/>
      <c r="F226" s="25"/>
      <c r="G226" s="22"/>
      <c r="H226" s="25"/>
      <c r="I226" s="22"/>
      <c r="J226" s="25"/>
      <c r="K226" s="22"/>
      <c r="L226" s="25"/>
      <c r="M226" s="20"/>
    </row>
    <row r="227" spans="1:52" ht="30" customHeight="1" x14ac:dyDescent="0.3">
      <c r="A227" s="16" t="s">
        <v>542</v>
      </c>
      <c r="B227" s="17"/>
      <c r="C227" s="17"/>
      <c r="D227" s="17"/>
      <c r="E227" s="21"/>
      <c r="F227" s="24"/>
      <c r="G227" s="21"/>
      <c r="H227" s="24"/>
      <c r="I227" s="21"/>
      <c r="J227" s="24"/>
      <c r="K227" s="21"/>
      <c r="L227" s="24"/>
      <c r="M227" s="18"/>
      <c r="N227" s="1" t="s">
        <v>217</v>
      </c>
    </row>
    <row r="228" spans="1:52" ht="30" customHeight="1" x14ac:dyDescent="0.3">
      <c r="A228" s="19" t="s">
        <v>543</v>
      </c>
      <c r="B228" s="19" t="s">
        <v>544</v>
      </c>
      <c r="C228" s="19" t="s">
        <v>66</v>
      </c>
      <c r="D228" s="20">
        <v>1</v>
      </c>
      <c r="E228" s="22">
        <f>단가대비표!O36</f>
        <v>18041</v>
      </c>
      <c r="F228" s="25">
        <f>TRUNC(E228*D228,1)</f>
        <v>18041</v>
      </c>
      <c r="G228" s="22">
        <f>단가대비표!P36</f>
        <v>0</v>
      </c>
      <c r="H228" s="25">
        <f>TRUNC(G228*D228,1)</f>
        <v>0</v>
      </c>
      <c r="I228" s="22">
        <f>단가대비표!V36</f>
        <v>0</v>
      </c>
      <c r="J228" s="25">
        <f>TRUNC(I228*D228,1)</f>
        <v>0</v>
      </c>
      <c r="K228" s="22">
        <f t="shared" ref="K228:L230" si="61">TRUNC(E228+G228+I228,1)</f>
        <v>18041</v>
      </c>
      <c r="L228" s="25">
        <f t="shared" si="61"/>
        <v>18041</v>
      </c>
      <c r="M228" s="19" t="s">
        <v>51</v>
      </c>
      <c r="N228" s="1" t="s">
        <v>217</v>
      </c>
      <c r="O228" s="1" t="s">
        <v>545</v>
      </c>
      <c r="P228" s="1" t="s">
        <v>62</v>
      </c>
      <c r="Q228" s="1" t="s">
        <v>62</v>
      </c>
      <c r="R228" s="1" t="s">
        <v>61</v>
      </c>
      <c r="AV228" s="1" t="s">
        <v>51</v>
      </c>
      <c r="AW228" s="1" t="s">
        <v>546</v>
      </c>
      <c r="AX228" s="1" t="s">
        <v>51</v>
      </c>
      <c r="AY228" s="1" t="s">
        <v>51</v>
      </c>
      <c r="AZ228" s="1" t="s">
        <v>51</v>
      </c>
    </row>
    <row r="229" spans="1:52" ht="30" customHeight="1" x14ac:dyDescent="0.3">
      <c r="A229" s="19" t="s">
        <v>295</v>
      </c>
      <c r="B229" s="19" t="s">
        <v>296</v>
      </c>
      <c r="C229" s="19" t="s">
        <v>297</v>
      </c>
      <c r="D229" s="20">
        <f>공량산출근거서!K109</f>
        <v>0.32519999999999999</v>
      </c>
      <c r="E229" s="22">
        <f>단가대비표!O63</f>
        <v>0</v>
      </c>
      <c r="F229" s="25">
        <f>TRUNC(E229*D229,1)</f>
        <v>0</v>
      </c>
      <c r="G229" s="22">
        <f>단가대비표!P63</f>
        <v>284880</v>
      </c>
      <c r="H229" s="25">
        <f>TRUNC(G229*D229,1)</f>
        <v>92642.9</v>
      </c>
      <c r="I229" s="22">
        <f>단가대비표!V63</f>
        <v>0</v>
      </c>
      <c r="J229" s="25">
        <f>TRUNC(I229*D229,1)</f>
        <v>0</v>
      </c>
      <c r="K229" s="22">
        <f t="shared" si="61"/>
        <v>284880</v>
      </c>
      <c r="L229" s="25">
        <f t="shared" si="61"/>
        <v>92642.9</v>
      </c>
      <c r="M229" s="19" t="s">
        <v>51</v>
      </c>
      <c r="N229" s="1" t="s">
        <v>217</v>
      </c>
      <c r="O229" s="1" t="s">
        <v>298</v>
      </c>
      <c r="P229" s="1" t="s">
        <v>62</v>
      </c>
      <c r="Q229" s="1" t="s">
        <v>62</v>
      </c>
      <c r="R229" s="1" t="s">
        <v>61</v>
      </c>
      <c r="V229">
        <v>1</v>
      </c>
      <c r="AV229" s="1" t="s">
        <v>51</v>
      </c>
      <c r="AW229" s="1" t="s">
        <v>547</v>
      </c>
      <c r="AX229" s="1" t="s">
        <v>51</v>
      </c>
      <c r="AY229" s="1" t="s">
        <v>51</v>
      </c>
      <c r="AZ229" s="1" t="s">
        <v>51</v>
      </c>
    </row>
    <row r="230" spans="1:52" ht="30" customHeight="1" x14ac:dyDescent="0.3">
      <c r="A230" s="19" t="s">
        <v>280</v>
      </c>
      <c r="B230" s="19" t="s">
        <v>281</v>
      </c>
      <c r="C230" s="19" t="s">
        <v>229</v>
      </c>
      <c r="D230" s="20">
        <v>1</v>
      </c>
      <c r="E230" s="22">
        <f>TRUNC(SUMIF(V228:V230, RIGHTB(O230, 1), H228:H230)*U230, 2)</f>
        <v>2779.28</v>
      </c>
      <c r="F230" s="25">
        <f>TRUNC(E230*D230,1)</f>
        <v>2779.2</v>
      </c>
      <c r="G230" s="22">
        <v>0</v>
      </c>
      <c r="H230" s="25">
        <f>TRUNC(G230*D230,1)</f>
        <v>0</v>
      </c>
      <c r="I230" s="22">
        <v>0</v>
      </c>
      <c r="J230" s="25">
        <f>TRUNC(I230*D230,1)</f>
        <v>0</v>
      </c>
      <c r="K230" s="22">
        <f t="shared" si="61"/>
        <v>2779.2</v>
      </c>
      <c r="L230" s="25">
        <f t="shared" si="61"/>
        <v>2779.2</v>
      </c>
      <c r="M230" s="19" t="s">
        <v>51</v>
      </c>
      <c r="N230" s="1" t="s">
        <v>217</v>
      </c>
      <c r="O230" s="1" t="s">
        <v>234</v>
      </c>
      <c r="P230" s="1" t="s">
        <v>62</v>
      </c>
      <c r="Q230" s="1" t="s">
        <v>62</v>
      </c>
      <c r="R230" s="1" t="s">
        <v>62</v>
      </c>
      <c r="S230">
        <v>1</v>
      </c>
      <c r="T230">
        <v>0</v>
      </c>
      <c r="U230">
        <v>0.03</v>
      </c>
      <c r="AV230" s="1" t="s">
        <v>51</v>
      </c>
      <c r="AW230" s="1" t="s">
        <v>548</v>
      </c>
      <c r="AX230" s="1" t="s">
        <v>51</v>
      </c>
      <c r="AY230" s="1" t="s">
        <v>51</v>
      </c>
      <c r="AZ230" s="1" t="s">
        <v>51</v>
      </c>
    </row>
    <row r="231" spans="1:52" ht="30" customHeight="1" x14ac:dyDescent="0.3">
      <c r="A231" s="19" t="s">
        <v>283</v>
      </c>
      <c r="B231" s="19" t="s">
        <v>51</v>
      </c>
      <c r="C231" s="19" t="s">
        <v>51</v>
      </c>
      <c r="D231" s="20"/>
      <c r="E231" s="22"/>
      <c r="F231" s="25">
        <f>TRUNC(SUMIF(N228:N230, N227, F228:F230),0)</f>
        <v>20820</v>
      </c>
      <c r="G231" s="22"/>
      <c r="H231" s="25">
        <f>TRUNC(SUMIF(N228:N230, N227, H228:H230),0)</f>
        <v>92642</v>
      </c>
      <c r="I231" s="22"/>
      <c r="J231" s="25">
        <f>TRUNC(SUMIF(N228:N230, N227, J228:J230),0)</f>
        <v>0</v>
      </c>
      <c r="K231" s="22"/>
      <c r="L231" s="25">
        <f>F231+H231+J231</f>
        <v>113462</v>
      </c>
      <c r="M231" s="19" t="s">
        <v>51</v>
      </c>
      <c r="N231" s="1" t="s">
        <v>83</v>
      </c>
      <c r="O231" s="1" t="s">
        <v>83</v>
      </c>
      <c r="P231" s="1" t="s">
        <v>51</v>
      </c>
      <c r="Q231" s="1" t="s">
        <v>51</v>
      </c>
      <c r="R231" s="1" t="s">
        <v>51</v>
      </c>
      <c r="AV231" s="1" t="s">
        <v>51</v>
      </c>
      <c r="AW231" s="1" t="s">
        <v>51</v>
      </c>
      <c r="AX231" s="1" t="s">
        <v>51</v>
      </c>
      <c r="AY231" s="1" t="s">
        <v>51</v>
      </c>
      <c r="AZ231" s="1" t="s">
        <v>51</v>
      </c>
    </row>
    <row r="232" spans="1:52" ht="30" customHeight="1" x14ac:dyDescent="0.3">
      <c r="A232" s="20"/>
      <c r="B232" s="20"/>
      <c r="C232" s="20"/>
      <c r="D232" s="20"/>
      <c r="E232" s="22"/>
      <c r="F232" s="25"/>
      <c r="G232" s="22"/>
      <c r="H232" s="25"/>
      <c r="I232" s="22"/>
      <c r="J232" s="25"/>
      <c r="K232" s="22"/>
      <c r="L232" s="25"/>
      <c r="M232" s="20"/>
    </row>
    <row r="233" spans="1:52" ht="30" customHeight="1" x14ac:dyDescent="0.3">
      <c r="A233" s="16" t="s">
        <v>549</v>
      </c>
      <c r="B233" s="17"/>
      <c r="C233" s="17"/>
      <c r="D233" s="17"/>
      <c r="E233" s="21"/>
      <c r="F233" s="24"/>
      <c r="G233" s="21"/>
      <c r="H233" s="24"/>
      <c r="I233" s="21"/>
      <c r="J233" s="24"/>
      <c r="K233" s="21"/>
      <c r="L233" s="24"/>
      <c r="M233" s="18"/>
      <c r="N233" s="1" t="s">
        <v>223</v>
      </c>
    </row>
    <row r="234" spans="1:52" ht="30" customHeight="1" x14ac:dyDescent="0.3">
      <c r="A234" s="19" t="s">
        <v>550</v>
      </c>
      <c r="B234" s="19" t="s">
        <v>551</v>
      </c>
      <c r="C234" s="19" t="s">
        <v>66</v>
      </c>
      <c r="D234" s="20">
        <v>0.4</v>
      </c>
      <c r="E234" s="22">
        <f>단가대비표!O40</f>
        <v>6176</v>
      </c>
      <c r="F234" s="25">
        <f t="shared" ref="F234:F241" si="62">TRUNC(E234*D234,1)</f>
        <v>2470.4</v>
      </c>
      <c r="G234" s="22">
        <f>단가대비표!P40</f>
        <v>0</v>
      </c>
      <c r="H234" s="25">
        <f t="shared" ref="H234:H241" si="63">TRUNC(G234*D234,1)</f>
        <v>0</v>
      </c>
      <c r="I234" s="22">
        <f>단가대비표!V40</f>
        <v>0</v>
      </c>
      <c r="J234" s="25">
        <f t="shared" ref="J234:J241" si="64">TRUNC(I234*D234,1)</f>
        <v>0</v>
      </c>
      <c r="K234" s="22">
        <f t="shared" ref="K234:L241" si="65">TRUNC(E234+G234+I234,1)</f>
        <v>6176</v>
      </c>
      <c r="L234" s="25">
        <f t="shared" si="65"/>
        <v>2470.4</v>
      </c>
      <c r="M234" s="19" t="s">
        <v>51</v>
      </c>
      <c r="N234" s="1" t="s">
        <v>223</v>
      </c>
      <c r="O234" s="1" t="s">
        <v>552</v>
      </c>
      <c r="P234" s="1" t="s">
        <v>62</v>
      </c>
      <c r="Q234" s="1" t="s">
        <v>62</v>
      </c>
      <c r="R234" s="1" t="s">
        <v>61</v>
      </c>
      <c r="AV234" s="1" t="s">
        <v>51</v>
      </c>
      <c r="AW234" s="1" t="s">
        <v>553</v>
      </c>
      <c r="AX234" s="1" t="s">
        <v>51</v>
      </c>
      <c r="AY234" s="1" t="s">
        <v>51</v>
      </c>
      <c r="AZ234" s="1" t="s">
        <v>51</v>
      </c>
    </row>
    <row r="235" spans="1:52" ht="30" customHeight="1" x14ac:dyDescent="0.3">
      <c r="A235" s="19" t="s">
        <v>554</v>
      </c>
      <c r="B235" s="19" t="s">
        <v>555</v>
      </c>
      <c r="C235" s="19" t="s">
        <v>72</v>
      </c>
      <c r="D235" s="20">
        <v>2</v>
      </c>
      <c r="E235" s="22">
        <f>단가대비표!O24</f>
        <v>1167</v>
      </c>
      <c r="F235" s="25">
        <f t="shared" si="62"/>
        <v>2334</v>
      </c>
      <c r="G235" s="22">
        <f>단가대비표!P24</f>
        <v>0</v>
      </c>
      <c r="H235" s="25">
        <f t="shared" si="63"/>
        <v>0</v>
      </c>
      <c r="I235" s="22">
        <f>단가대비표!V24</f>
        <v>0</v>
      </c>
      <c r="J235" s="25">
        <f t="shared" si="64"/>
        <v>0</v>
      </c>
      <c r="K235" s="22">
        <f t="shared" si="65"/>
        <v>1167</v>
      </c>
      <c r="L235" s="25">
        <f t="shared" si="65"/>
        <v>2334</v>
      </c>
      <c r="M235" s="19" t="s">
        <v>51</v>
      </c>
      <c r="N235" s="1" t="s">
        <v>223</v>
      </c>
      <c r="O235" s="1" t="s">
        <v>556</v>
      </c>
      <c r="P235" s="1" t="s">
        <v>62</v>
      </c>
      <c r="Q235" s="1" t="s">
        <v>62</v>
      </c>
      <c r="R235" s="1" t="s">
        <v>61</v>
      </c>
      <c r="AV235" s="1" t="s">
        <v>51</v>
      </c>
      <c r="AW235" s="1" t="s">
        <v>557</v>
      </c>
      <c r="AX235" s="1" t="s">
        <v>51</v>
      </c>
      <c r="AY235" s="1" t="s">
        <v>51</v>
      </c>
      <c r="AZ235" s="1" t="s">
        <v>51</v>
      </c>
    </row>
    <row r="236" spans="1:52" ht="30" customHeight="1" x14ac:dyDescent="0.3">
      <c r="A236" s="19" t="s">
        <v>558</v>
      </c>
      <c r="B236" s="19" t="s">
        <v>559</v>
      </c>
      <c r="C236" s="19" t="s">
        <v>72</v>
      </c>
      <c r="D236" s="20">
        <v>2</v>
      </c>
      <c r="E236" s="22">
        <f>단가대비표!O27</f>
        <v>120</v>
      </c>
      <c r="F236" s="25">
        <f t="shared" si="62"/>
        <v>240</v>
      </c>
      <c r="G236" s="22">
        <f>단가대비표!P27</f>
        <v>0</v>
      </c>
      <c r="H236" s="25">
        <f t="shared" si="63"/>
        <v>0</v>
      </c>
      <c r="I236" s="22">
        <f>단가대비표!V27</f>
        <v>0</v>
      </c>
      <c r="J236" s="25">
        <f t="shared" si="64"/>
        <v>0</v>
      </c>
      <c r="K236" s="22">
        <f t="shared" si="65"/>
        <v>120</v>
      </c>
      <c r="L236" s="25">
        <f t="shared" si="65"/>
        <v>240</v>
      </c>
      <c r="M236" s="19" t="s">
        <v>51</v>
      </c>
      <c r="N236" s="1" t="s">
        <v>223</v>
      </c>
      <c r="O236" s="1" t="s">
        <v>560</v>
      </c>
      <c r="P236" s="1" t="s">
        <v>62</v>
      </c>
      <c r="Q236" s="1" t="s">
        <v>62</v>
      </c>
      <c r="R236" s="1" t="s">
        <v>61</v>
      </c>
      <c r="AV236" s="1" t="s">
        <v>51</v>
      </c>
      <c r="AW236" s="1" t="s">
        <v>561</v>
      </c>
      <c r="AX236" s="1" t="s">
        <v>51</v>
      </c>
      <c r="AY236" s="1" t="s">
        <v>51</v>
      </c>
      <c r="AZ236" s="1" t="s">
        <v>51</v>
      </c>
    </row>
    <row r="237" spans="1:52" ht="30" customHeight="1" x14ac:dyDescent="0.3">
      <c r="A237" s="19" t="s">
        <v>562</v>
      </c>
      <c r="B237" s="19" t="s">
        <v>563</v>
      </c>
      <c r="C237" s="19" t="s">
        <v>72</v>
      </c>
      <c r="D237" s="20">
        <v>4</v>
      </c>
      <c r="E237" s="22">
        <f>단가대비표!O25</f>
        <v>25.1</v>
      </c>
      <c r="F237" s="25">
        <f t="shared" si="62"/>
        <v>100.4</v>
      </c>
      <c r="G237" s="22">
        <f>단가대비표!P25</f>
        <v>0</v>
      </c>
      <c r="H237" s="25">
        <f t="shared" si="63"/>
        <v>0</v>
      </c>
      <c r="I237" s="22">
        <f>단가대비표!V25</f>
        <v>0</v>
      </c>
      <c r="J237" s="25">
        <f t="shared" si="64"/>
        <v>0</v>
      </c>
      <c r="K237" s="22">
        <f t="shared" si="65"/>
        <v>25.1</v>
      </c>
      <c r="L237" s="25">
        <f t="shared" si="65"/>
        <v>100.4</v>
      </c>
      <c r="M237" s="19" t="s">
        <v>51</v>
      </c>
      <c r="N237" s="1" t="s">
        <v>223</v>
      </c>
      <c r="O237" s="1" t="s">
        <v>564</v>
      </c>
      <c r="P237" s="1" t="s">
        <v>62</v>
      </c>
      <c r="Q237" s="1" t="s">
        <v>62</v>
      </c>
      <c r="R237" s="1" t="s">
        <v>61</v>
      </c>
      <c r="AV237" s="1" t="s">
        <v>51</v>
      </c>
      <c r="AW237" s="1" t="s">
        <v>565</v>
      </c>
      <c r="AX237" s="1" t="s">
        <v>51</v>
      </c>
      <c r="AY237" s="1" t="s">
        <v>51</v>
      </c>
      <c r="AZ237" s="1" t="s">
        <v>51</v>
      </c>
    </row>
    <row r="238" spans="1:52" ht="30" customHeight="1" x14ac:dyDescent="0.3">
      <c r="A238" s="19" t="s">
        <v>566</v>
      </c>
      <c r="B238" s="19" t="s">
        <v>567</v>
      </c>
      <c r="C238" s="19" t="s">
        <v>72</v>
      </c>
      <c r="D238" s="20">
        <v>4</v>
      </c>
      <c r="E238" s="22">
        <f>단가대비표!O26</f>
        <v>9.1999999999999993</v>
      </c>
      <c r="F238" s="25">
        <f t="shared" si="62"/>
        <v>36.799999999999997</v>
      </c>
      <c r="G238" s="22">
        <f>단가대비표!P26</f>
        <v>0</v>
      </c>
      <c r="H238" s="25">
        <f t="shared" si="63"/>
        <v>0</v>
      </c>
      <c r="I238" s="22">
        <f>단가대비표!V26</f>
        <v>0</v>
      </c>
      <c r="J238" s="25">
        <f t="shared" si="64"/>
        <v>0</v>
      </c>
      <c r="K238" s="22">
        <f t="shared" si="65"/>
        <v>9.1999999999999993</v>
      </c>
      <c r="L238" s="25">
        <f t="shared" si="65"/>
        <v>36.799999999999997</v>
      </c>
      <c r="M238" s="19" t="s">
        <v>51</v>
      </c>
      <c r="N238" s="1" t="s">
        <v>223</v>
      </c>
      <c r="O238" s="1" t="s">
        <v>568</v>
      </c>
      <c r="P238" s="1" t="s">
        <v>62</v>
      </c>
      <c r="Q238" s="1" t="s">
        <v>62</v>
      </c>
      <c r="R238" s="1" t="s">
        <v>61</v>
      </c>
      <c r="AV238" s="1" t="s">
        <v>51</v>
      </c>
      <c r="AW238" s="1" t="s">
        <v>569</v>
      </c>
      <c r="AX238" s="1" t="s">
        <v>51</v>
      </c>
      <c r="AY238" s="1" t="s">
        <v>51</v>
      </c>
      <c r="AZ238" s="1" t="s">
        <v>51</v>
      </c>
    </row>
    <row r="239" spans="1:52" ht="30" customHeight="1" x14ac:dyDescent="0.3">
      <c r="A239" s="19" t="s">
        <v>550</v>
      </c>
      <c r="B239" s="19" t="s">
        <v>570</v>
      </c>
      <c r="C239" s="19" t="s">
        <v>66</v>
      </c>
      <c r="D239" s="20">
        <v>2</v>
      </c>
      <c r="E239" s="22">
        <f>단가대비표!O41</f>
        <v>4500</v>
      </c>
      <c r="F239" s="25">
        <f t="shared" si="62"/>
        <v>9000</v>
      </c>
      <c r="G239" s="22">
        <f>단가대비표!P41</f>
        <v>0</v>
      </c>
      <c r="H239" s="25">
        <f t="shared" si="63"/>
        <v>0</v>
      </c>
      <c r="I239" s="22">
        <f>단가대비표!V41</f>
        <v>0</v>
      </c>
      <c r="J239" s="25">
        <f t="shared" si="64"/>
        <v>0</v>
      </c>
      <c r="K239" s="22">
        <f t="shared" si="65"/>
        <v>4500</v>
      </c>
      <c r="L239" s="25">
        <f t="shared" si="65"/>
        <v>9000</v>
      </c>
      <c r="M239" s="19" t="s">
        <v>51</v>
      </c>
      <c r="N239" s="1" t="s">
        <v>223</v>
      </c>
      <c r="O239" s="1" t="s">
        <v>571</v>
      </c>
      <c r="P239" s="1" t="s">
        <v>62</v>
      </c>
      <c r="Q239" s="1" t="s">
        <v>62</v>
      </c>
      <c r="R239" s="1" t="s">
        <v>61</v>
      </c>
      <c r="AV239" s="1" t="s">
        <v>51</v>
      </c>
      <c r="AW239" s="1" t="s">
        <v>572</v>
      </c>
      <c r="AX239" s="1" t="s">
        <v>51</v>
      </c>
      <c r="AY239" s="1" t="s">
        <v>51</v>
      </c>
      <c r="AZ239" s="1" t="s">
        <v>51</v>
      </c>
    </row>
    <row r="240" spans="1:52" ht="30" customHeight="1" x14ac:dyDescent="0.3">
      <c r="A240" s="19" t="s">
        <v>295</v>
      </c>
      <c r="B240" s="19" t="s">
        <v>296</v>
      </c>
      <c r="C240" s="19" t="s">
        <v>297</v>
      </c>
      <c r="D240" s="20">
        <f>공량산출근거서!K112</f>
        <v>0.08</v>
      </c>
      <c r="E240" s="22">
        <f>단가대비표!O63</f>
        <v>0</v>
      </c>
      <c r="F240" s="25">
        <f t="shared" si="62"/>
        <v>0</v>
      </c>
      <c r="G240" s="22">
        <f>단가대비표!P63</f>
        <v>284880</v>
      </c>
      <c r="H240" s="25">
        <f t="shared" si="63"/>
        <v>22790.400000000001</v>
      </c>
      <c r="I240" s="22">
        <f>단가대비표!V63</f>
        <v>0</v>
      </c>
      <c r="J240" s="25">
        <f t="shared" si="64"/>
        <v>0</v>
      </c>
      <c r="K240" s="22">
        <f t="shared" si="65"/>
        <v>284880</v>
      </c>
      <c r="L240" s="25">
        <f t="shared" si="65"/>
        <v>22790.400000000001</v>
      </c>
      <c r="M240" s="19" t="s">
        <v>51</v>
      </c>
      <c r="N240" s="1" t="s">
        <v>223</v>
      </c>
      <c r="O240" s="1" t="s">
        <v>298</v>
      </c>
      <c r="P240" s="1" t="s">
        <v>62</v>
      </c>
      <c r="Q240" s="1" t="s">
        <v>62</v>
      </c>
      <c r="R240" s="1" t="s">
        <v>61</v>
      </c>
      <c r="V240">
        <v>1</v>
      </c>
      <c r="AV240" s="1" t="s">
        <v>51</v>
      </c>
      <c r="AW240" s="1" t="s">
        <v>573</v>
      </c>
      <c r="AX240" s="1" t="s">
        <v>51</v>
      </c>
      <c r="AY240" s="1" t="s">
        <v>51</v>
      </c>
      <c r="AZ240" s="1" t="s">
        <v>51</v>
      </c>
    </row>
    <row r="241" spans="1:52" ht="30" customHeight="1" x14ac:dyDescent="0.3">
      <c r="A241" s="19" t="s">
        <v>280</v>
      </c>
      <c r="B241" s="19" t="s">
        <v>281</v>
      </c>
      <c r="C241" s="19" t="s">
        <v>229</v>
      </c>
      <c r="D241" s="20">
        <v>1</v>
      </c>
      <c r="E241" s="22">
        <f>TRUNC(SUMIF(V234:V241, RIGHTB(O241, 1), H234:H241)*U241, 2)</f>
        <v>683.71</v>
      </c>
      <c r="F241" s="25">
        <f t="shared" si="62"/>
        <v>683.7</v>
      </c>
      <c r="G241" s="22">
        <v>0</v>
      </c>
      <c r="H241" s="25">
        <f t="shared" si="63"/>
        <v>0</v>
      </c>
      <c r="I241" s="22">
        <v>0</v>
      </c>
      <c r="J241" s="25">
        <f t="shared" si="64"/>
        <v>0</v>
      </c>
      <c r="K241" s="22">
        <f t="shared" si="65"/>
        <v>683.7</v>
      </c>
      <c r="L241" s="25">
        <f t="shared" si="65"/>
        <v>683.7</v>
      </c>
      <c r="M241" s="19" t="s">
        <v>51</v>
      </c>
      <c r="N241" s="1" t="s">
        <v>223</v>
      </c>
      <c r="O241" s="1" t="s">
        <v>234</v>
      </c>
      <c r="P241" s="1" t="s">
        <v>62</v>
      </c>
      <c r="Q241" s="1" t="s">
        <v>62</v>
      </c>
      <c r="R241" s="1" t="s">
        <v>62</v>
      </c>
      <c r="S241">
        <v>1</v>
      </c>
      <c r="T241">
        <v>0</v>
      </c>
      <c r="U241">
        <v>0.03</v>
      </c>
      <c r="AV241" s="1" t="s">
        <v>51</v>
      </c>
      <c r="AW241" s="1" t="s">
        <v>574</v>
      </c>
      <c r="AX241" s="1" t="s">
        <v>51</v>
      </c>
      <c r="AY241" s="1" t="s">
        <v>51</v>
      </c>
      <c r="AZ241" s="1" t="s">
        <v>51</v>
      </c>
    </row>
    <row r="242" spans="1:52" ht="30" customHeight="1" x14ac:dyDescent="0.3">
      <c r="A242" s="19" t="s">
        <v>283</v>
      </c>
      <c r="B242" s="19" t="s">
        <v>51</v>
      </c>
      <c r="C242" s="19" t="s">
        <v>51</v>
      </c>
      <c r="D242" s="20"/>
      <c r="E242" s="22"/>
      <c r="F242" s="25">
        <f>TRUNC(SUMIF(N234:N241, N233, F234:F241),0)</f>
        <v>14865</v>
      </c>
      <c r="G242" s="22"/>
      <c r="H242" s="25">
        <f>TRUNC(SUMIF(N234:N241, N233, H234:H241),0)</f>
        <v>22790</v>
      </c>
      <c r="I242" s="22"/>
      <c r="J242" s="25">
        <f>TRUNC(SUMIF(N234:N241, N233, J234:J241),0)</f>
        <v>0</v>
      </c>
      <c r="K242" s="22"/>
      <c r="L242" s="25">
        <f>F242+H242+J242</f>
        <v>37655</v>
      </c>
      <c r="M242" s="19" t="s">
        <v>51</v>
      </c>
      <c r="N242" s="1" t="s">
        <v>83</v>
      </c>
      <c r="O242" s="1" t="s">
        <v>83</v>
      </c>
      <c r="P242" s="1" t="s">
        <v>51</v>
      </c>
      <c r="Q242" s="1" t="s">
        <v>51</v>
      </c>
      <c r="R242" s="1" t="s">
        <v>51</v>
      </c>
      <c r="AV242" s="1" t="s">
        <v>51</v>
      </c>
      <c r="AW242" s="1" t="s">
        <v>51</v>
      </c>
      <c r="AX242" s="1" t="s">
        <v>51</v>
      </c>
      <c r="AY242" s="1" t="s">
        <v>51</v>
      </c>
      <c r="AZ242" s="1" t="s">
        <v>51</v>
      </c>
    </row>
    <row r="243" spans="1:52" ht="30" customHeight="1" x14ac:dyDescent="0.3">
      <c r="A243" s="20"/>
      <c r="B243" s="20"/>
      <c r="C243" s="20"/>
      <c r="D243" s="20"/>
      <c r="E243" s="22"/>
      <c r="F243" s="25"/>
      <c r="G243" s="22"/>
      <c r="H243" s="25"/>
      <c r="I243" s="22"/>
      <c r="J243" s="25"/>
      <c r="K243" s="22"/>
      <c r="L243" s="25"/>
      <c r="M243" s="20"/>
    </row>
    <row r="244" spans="1:52" ht="30" customHeight="1" x14ac:dyDescent="0.3">
      <c r="A244" s="16" t="s">
        <v>575</v>
      </c>
      <c r="B244" s="17"/>
      <c r="C244" s="17"/>
      <c r="D244" s="17"/>
      <c r="E244" s="21"/>
      <c r="F244" s="24"/>
      <c r="G244" s="21"/>
      <c r="H244" s="24"/>
      <c r="I244" s="21"/>
      <c r="J244" s="24"/>
      <c r="K244" s="21"/>
      <c r="L244" s="24"/>
      <c r="M244" s="18"/>
      <c r="N244" s="1" t="s">
        <v>319</v>
      </c>
    </row>
    <row r="245" spans="1:52" ht="30" customHeight="1" x14ac:dyDescent="0.3">
      <c r="A245" s="19" t="s">
        <v>535</v>
      </c>
      <c r="B245" s="19" t="s">
        <v>576</v>
      </c>
      <c r="C245" s="19" t="s">
        <v>66</v>
      </c>
      <c r="D245" s="20">
        <v>1</v>
      </c>
      <c r="E245" s="22">
        <f>단가대비표!O9</f>
        <v>5522</v>
      </c>
      <c r="F245" s="25">
        <f>TRUNC(E245*D245,1)</f>
        <v>5522</v>
      </c>
      <c r="G245" s="22">
        <f>단가대비표!P9</f>
        <v>0</v>
      </c>
      <c r="H245" s="25">
        <f>TRUNC(G245*D245,1)</f>
        <v>0</v>
      </c>
      <c r="I245" s="22">
        <f>단가대비표!V9</f>
        <v>0</v>
      </c>
      <c r="J245" s="25">
        <f>TRUNC(I245*D245,1)</f>
        <v>0</v>
      </c>
      <c r="K245" s="22">
        <f t="shared" ref="K245:L249" si="66">TRUNC(E245+G245+I245,1)</f>
        <v>5522</v>
      </c>
      <c r="L245" s="25">
        <f t="shared" si="66"/>
        <v>5522</v>
      </c>
      <c r="M245" s="19" t="s">
        <v>51</v>
      </c>
      <c r="N245" s="1" t="s">
        <v>319</v>
      </c>
      <c r="O245" s="1" t="s">
        <v>577</v>
      </c>
      <c r="P245" s="1" t="s">
        <v>62</v>
      </c>
      <c r="Q245" s="1" t="s">
        <v>62</v>
      </c>
      <c r="R245" s="1" t="s">
        <v>61</v>
      </c>
      <c r="V245">
        <v>1</v>
      </c>
      <c r="AV245" s="1" t="s">
        <v>51</v>
      </c>
      <c r="AW245" s="1" t="s">
        <v>578</v>
      </c>
      <c r="AX245" s="1" t="s">
        <v>51</v>
      </c>
      <c r="AY245" s="1" t="s">
        <v>51</v>
      </c>
      <c r="AZ245" s="1" t="s">
        <v>51</v>
      </c>
    </row>
    <row r="246" spans="1:52" ht="30" customHeight="1" x14ac:dyDescent="0.3">
      <c r="A246" s="19" t="s">
        <v>535</v>
      </c>
      <c r="B246" s="19" t="s">
        <v>576</v>
      </c>
      <c r="C246" s="19" t="s">
        <v>66</v>
      </c>
      <c r="D246" s="20">
        <v>0.03</v>
      </c>
      <c r="E246" s="22">
        <f>단가대비표!O9</f>
        <v>5522</v>
      </c>
      <c r="F246" s="25">
        <f>TRUNC(E246*D246,1)</f>
        <v>165.6</v>
      </c>
      <c r="G246" s="22">
        <f>단가대비표!P9</f>
        <v>0</v>
      </c>
      <c r="H246" s="25">
        <f>TRUNC(G246*D246,1)</f>
        <v>0</v>
      </c>
      <c r="I246" s="22">
        <f>단가대비표!V9</f>
        <v>0</v>
      </c>
      <c r="J246" s="25">
        <f>TRUNC(I246*D246,1)</f>
        <v>0</v>
      </c>
      <c r="K246" s="22">
        <f t="shared" si="66"/>
        <v>5522</v>
      </c>
      <c r="L246" s="25">
        <f t="shared" si="66"/>
        <v>165.6</v>
      </c>
      <c r="M246" s="19" t="s">
        <v>51</v>
      </c>
      <c r="N246" s="1" t="s">
        <v>319</v>
      </c>
      <c r="O246" s="1" t="s">
        <v>577</v>
      </c>
      <c r="P246" s="1" t="s">
        <v>62</v>
      </c>
      <c r="Q246" s="1" t="s">
        <v>62</v>
      </c>
      <c r="R246" s="1" t="s">
        <v>61</v>
      </c>
      <c r="AV246" s="1" t="s">
        <v>51</v>
      </c>
      <c r="AW246" s="1" t="s">
        <v>578</v>
      </c>
      <c r="AX246" s="1" t="s">
        <v>51</v>
      </c>
      <c r="AY246" s="1" t="s">
        <v>51</v>
      </c>
      <c r="AZ246" s="1" t="s">
        <v>51</v>
      </c>
    </row>
    <row r="247" spans="1:52" ht="30" customHeight="1" x14ac:dyDescent="0.3">
      <c r="A247" s="19" t="s">
        <v>291</v>
      </c>
      <c r="B247" s="19" t="s">
        <v>493</v>
      </c>
      <c r="C247" s="19" t="s">
        <v>229</v>
      </c>
      <c r="D247" s="20">
        <v>1</v>
      </c>
      <c r="E247" s="22">
        <f>TRUNC(SUMIF(V245:V249, RIGHTB(O247, 1), F245:F249)*U247, 2)</f>
        <v>110.44</v>
      </c>
      <c r="F247" s="25">
        <f>TRUNC(E247*D247,1)</f>
        <v>110.4</v>
      </c>
      <c r="G247" s="22">
        <v>0</v>
      </c>
      <c r="H247" s="25">
        <f>TRUNC(G247*D247,1)</f>
        <v>0</v>
      </c>
      <c r="I247" s="22">
        <v>0</v>
      </c>
      <c r="J247" s="25">
        <f>TRUNC(I247*D247,1)</f>
        <v>0</v>
      </c>
      <c r="K247" s="22">
        <f t="shared" si="66"/>
        <v>110.4</v>
      </c>
      <c r="L247" s="25">
        <f t="shared" si="66"/>
        <v>110.4</v>
      </c>
      <c r="M247" s="19" t="s">
        <v>51</v>
      </c>
      <c r="N247" s="1" t="s">
        <v>319</v>
      </c>
      <c r="O247" s="1" t="s">
        <v>234</v>
      </c>
      <c r="P247" s="1" t="s">
        <v>62</v>
      </c>
      <c r="Q247" s="1" t="s">
        <v>62</v>
      </c>
      <c r="R247" s="1" t="s">
        <v>62</v>
      </c>
      <c r="S247">
        <v>0</v>
      </c>
      <c r="T247">
        <v>0</v>
      </c>
      <c r="U247">
        <v>0.02</v>
      </c>
      <c r="AV247" s="1" t="s">
        <v>51</v>
      </c>
      <c r="AW247" s="1" t="s">
        <v>579</v>
      </c>
      <c r="AX247" s="1" t="s">
        <v>51</v>
      </c>
      <c r="AY247" s="1" t="s">
        <v>51</v>
      </c>
      <c r="AZ247" s="1" t="s">
        <v>51</v>
      </c>
    </row>
    <row r="248" spans="1:52" ht="30" customHeight="1" x14ac:dyDescent="0.3">
      <c r="A248" s="19" t="s">
        <v>408</v>
      </c>
      <c r="B248" s="19" t="s">
        <v>296</v>
      </c>
      <c r="C248" s="19" t="s">
        <v>297</v>
      </c>
      <c r="D248" s="20">
        <f>공량산출근거서!K115</f>
        <v>1.7999999999999999E-2</v>
      </c>
      <c r="E248" s="22">
        <f>단가대비표!O64</f>
        <v>0</v>
      </c>
      <c r="F248" s="25">
        <f>TRUNC(E248*D248,1)</f>
        <v>0</v>
      </c>
      <c r="G248" s="22">
        <f>단가대비표!P64</f>
        <v>408942</v>
      </c>
      <c r="H248" s="25">
        <f>TRUNC(G248*D248,1)</f>
        <v>7360.9</v>
      </c>
      <c r="I248" s="22">
        <f>단가대비표!V64</f>
        <v>0</v>
      </c>
      <c r="J248" s="25">
        <f>TRUNC(I248*D248,1)</f>
        <v>0</v>
      </c>
      <c r="K248" s="22">
        <f t="shared" si="66"/>
        <v>408942</v>
      </c>
      <c r="L248" s="25">
        <f t="shared" si="66"/>
        <v>7360.9</v>
      </c>
      <c r="M248" s="19" t="s">
        <v>51</v>
      </c>
      <c r="N248" s="1" t="s">
        <v>319</v>
      </c>
      <c r="O248" s="1" t="s">
        <v>409</v>
      </c>
      <c r="P248" s="1" t="s">
        <v>62</v>
      </c>
      <c r="Q248" s="1" t="s">
        <v>62</v>
      </c>
      <c r="R248" s="1" t="s">
        <v>61</v>
      </c>
      <c r="W248">
        <v>2</v>
      </c>
      <c r="AV248" s="1" t="s">
        <v>51</v>
      </c>
      <c r="AW248" s="1" t="s">
        <v>580</v>
      </c>
      <c r="AX248" s="1" t="s">
        <v>51</v>
      </c>
      <c r="AY248" s="1" t="s">
        <v>51</v>
      </c>
      <c r="AZ248" s="1" t="s">
        <v>51</v>
      </c>
    </row>
    <row r="249" spans="1:52" ht="30" customHeight="1" x14ac:dyDescent="0.3">
      <c r="A249" s="19" t="s">
        <v>280</v>
      </c>
      <c r="B249" s="19" t="s">
        <v>381</v>
      </c>
      <c r="C249" s="19" t="s">
        <v>229</v>
      </c>
      <c r="D249" s="20">
        <v>1</v>
      </c>
      <c r="E249" s="22">
        <f>TRUNC(SUMIF(W245:W249, RIGHTB(O249, 1), H245:H249)*U249, 2)</f>
        <v>220.82</v>
      </c>
      <c r="F249" s="25">
        <f>TRUNC(E249*D249,1)</f>
        <v>220.8</v>
      </c>
      <c r="G249" s="22">
        <v>0</v>
      </c>
      <c r="H249" s="25">
        <f>TRUNC(G249*D249,1)</f>
        <v>0</v>
      </c>
      <c r="I249" s="22">
        <v>0</v>
      </c>
      <c r="J249" s="25">
        <f>TRUNC(I249*D249,1)</f>
        <v>0</v>
      </c>
      <c r="K249" s="22">
        <f t="shared" si="66"/>
        <v>220.8</v>
      </c>
      <c r="L249" s="25">
        <f t="shared" si="66"/>
        <v>220.8</v>
      </c>
      <c r="M249" s="19" t="s">
        <v>51</v>
      </c>
      <c r="N249" s="1" t="s">
        <v>319</v>
      </c>
      <c r="O249" s="1" t="s">
        <v>293</v>
      </c>
      <c r="P249" s="1" t="s">
        <v>62</v>
      </c>
      <c r="Q249" s="1" t="s">
        <v>62</v>
      </c>
      <c r="R249" s="1" t="s">
        <v>62</v>
      </c>
      <c r="S249">
        <v>1</v>
      </c>
      <c r="T249">
        <v>0</v>
      </c>
      <c r="U249">
        <v>0.03</v>
      </c>
      <c r="AV249" s="1" t="s">
        <v>51</v>
      </c>
      <c r="AW249" s="1" t="s">
        <v>581</v>
      </c>
      <c r="AX249" s="1" t="s">
        <v>51</v>
      </c>
      <c r="AY249" s="1" t="s">
        <v>51</v>
      </c>
      <c r="AZ249" s="1" t="s">
        <v>51</v>
      </c>
    </row>
    <row r="250" spans="1:52" ht="30" customHeight="1" x14ac:dyDescent="0.3">
      <c r="A250" s="19" t="s">
        <v>283</v>
      </c>
      <c r="B250" s="19" t="s">
        <v>51</v>
      </c>
      <c r="C250" s="19" t="s">
        <v>51</v>
      </c>
      <c r="D250" s="20"/>
      <c r="E250" s="22"/>
      <c r="F250" s="25">
        <f>TRUNC(SUMIF(N245:N249, N244, F245:F249),0)</f>
        <v>6018</v>
      </c>
      <c r="G250" s="22"/>
      <c r="H250" s="25">
        <f>TRUNC(SUMIF(N245:N249, N244, H245:H249),0)</f>
        <v>7360</v>
      </c>
      <c r="I250" s="22"/>
      <c r="J250" s="25">
        <f>TRUNC(SUMIF(N245:N249, N244, J245:J249),0)</f>
        <v>0</v>
      </c>
      <c r="K250" s="22"/>
      <c r="L250" s="25">
        <f>F250+H250+J250</f>
        <v>13378</v>
      </c>
      <c r="M250" s="19" t="s">
        <v>51</v>
      </c>
      <c r="N250" s="1" t="s">
        <v>83</v>
      </c>
      <c r="O250" s="1" t="s">
        <v>83</v>
      </c>
      <c r="P250" s="1" t="s">
        <v>51</v>
      </c>
      <c r="Q250" s="1" t="s">
        <v>51</v>
      </c>
      <c r="R250" s="1" t="s">
        <v>51</v>
      </c>
      <c r="AV250" s="1" t="s">
        <v>51</v>
      </c>
      <c r="AW250" s="1" t="s">
        <v>51</v>
      </c>
      <c r="AX250" s="1" t="s">
        <v>51</v>
      </c>
      <c r="AY250" s="1" t="s">
        <v>51</v>
      </c>
      <c r="AZ250" s="1" t="s">
        <v>51</v>
      </c>
    </row>
    <row r="251" spans="1:52" ht="30" customHeight="1" x14ac:dyDescent="0.3">
      <c r="A251" s="20"/>
      <c r="B251" s="20"/>
      <c r="C251" s="20"/>
      <c r="D251" s="20"/>
      <c r="E251" s="22"/>
      <c r="F251" s="25"/>
      <c r="G251" s="22"/>
      <c r="H251" s="25"/>
      <c r="I251" s="22"/>
      <c r="J251" s="25"/>
      <c r="K251" s="22"/>
      <c r="L251" s="25"/>
      <c r="M251" s="20"/>
    </row>
    <row r="252" spans="1:52" ht="30" customHeight="1" x14ac:dyDescent="0.3">
      <c r="A252" s="16" t="s">
        <v>582</v>
      </c>
      <c r="B252" s="17"/>
      <c r="C252" s="17"/>
      <c r="D252" s="17"/>
      <c r="E252" s="21"/>
      <c r="F252" s="24"/>
      <c r="G252" s="21"/>
      <c r="H252" s="24"/>
      <c r="I252" s="21"/>
      <c r="J252" s="24"/>
      <c r="K252" s="21"/>
      <c r="L252" s="24"/>
      <c r="M252" s="18"/>
      <c r="N252" s="1" t="s">
        <v>324</v>
      </c>
    </row>
    <row r="253" spans="1:52" ht="30" customHeight="1" x14ac:dyDescent="0.3">
      <c r="A253" s="19" t="s">
        <v>583</v>
      </c>
      <c r="B253" s="19" t="s">
        <v>584</v>
      </c>
      <c r="C253" s="19" t="s">
        <v>72</v>
      </c>
      <c r="D253" s="20">
        <v>1</v>
      </c>
      <c r="E253" s="22">
        <f>단가대비표!O35</f>
        <v>3316</v>
      </c>
      <c r="F253" s="25">
        <f>TRUNC(E253*D253,1)</f>
        <v>3316</v>
      </c>
      <c r="G253" s="22">
        <f>단가대비표!P35</f>
        <v>0</v>
      </c>
      <c r="H253" s="25">
        <f>TRUNC(G253*D253,1)</f>
        <v>0</v>
      </c>
      <c r="I253" s="22">
        <f>단가대비표!V35</f>
        <v>0</v>
      </c>
      <c r="J253" s="25">
        <f>TRUNC(I253*D253,1)</f>
        <v>0</v>
      </c>
      <c r="K253" s="22">
        <f t="shared" ref="K253:L256" si="67">TRUNC(E253+G253+I253,1)</f>
        <v>3316</v>
      </c>
      <c r="L253" s="25">
        <f t="shared" si="67"/>
        <v>3316</v>
      </c>
      <c r="M253" s="19" t="s">
        <v>51</v>
      </c>
      <c r="N253" s="1" t="s">
        <v>324</v>
      </c>
      <c r="O253" s="1" t="s">
        <v>585</v>
      </c>
      <c r="P253" s="1" t="s">
        <v>62</v>
      </c>
      <c r="Q253" s="1" t="s">
        <v>62</v>
      </c>
      <c r="R253" s="1" t="s">
        <v>61</v>
      </c>
      <c r="AV253" s="1" t="s">
        <v>51</v>
      </c>
      <c r="AW253" s="1" t="s">
        <v>586</v>
      </c>
      <c r="AX253" s="1" t="s">
        <v>51</v>
      </c>
      <c r="AY253" s="1" t="s">
        <v>51</v>
      </c>
      <c r="AZ253" s="1" t="s">
        <v>51</v>
      </c>
    </row>
    <row r="254" spans="1:52" ht="30" customHeight="1" x14ac:dyDescent="0.3">
      <c r="A254" s="19" t="s">
        <v>405</v>
      </c>
      <c r="B254" s="19" t="s">
        <v>296</v>
      </c>
      <c r="C254" s="19" t="s">
        <v>297</v>
      </c>
      <c r="D254" s="20">
        <f>공량산출근거서!K119</f>
        <v>0.1</v>
      </c>
      <c r="E254" s="22">
        <f>단가대비표!O58</f>
        <v>0</v>
      </c>
      <c r="F254" s="25">
        <f>TRUNC(E254*D254,1)</f>
        <v>0</v>
      </c>
      <c r="G254" s="22">
        <f>단가대비표!P58</f>
        <v>172068</v>
      </c>
      <c r="H254" s="25">
        <f>TRUNC(G254*D254,1)</f>
        <v>17206.8</v>
      </c>
      <c r="I254" s="22">
        <f>단가대비표!V58</f>
        <v>0</v>
      </c>
      <c r="J254" s="25">
        <f>TRUNC(I254*D254,1)</f>
        <v>0</v>
      </c>
      <c r="K254" s="22">
        <f t="shared" si="67"/>
        <v>172068</v>
      </c>
      <c r="L254" s="25">
        <f t="shared" si="67"/>
        <v>17206.8</v>
      </c>
      <c r="M254" s="19" t="s">
        <v>51</v>
      </c>
      <c r="N254" s="1" t="s">
        <v>324</v>
      </c>
      <c r="O254" s="1" t="s">
        <v>406</v>
      </c>
      <c r="P254" s="1" t="s">
        <v>62</v>
      </c>
      <c r="Q254" s="1" t="s">
        <v>62</v>
      </c>
      <c r="R254" s="1" t="s">
        <v>61</v>
      </c>
      <c r="V254">
        <v>1</v>
      </c>
      <c r="AV254" s="1" t="s">
        <v>51</v>
      </c>
      <c r="AW254" s="1" t="s">
        <v>587</v>
      </c>
      <c r="AX254" s="1" t="s">
        <v>51</v>
      </c>
      <c r="AY254" s="1" t="s">
        <v>51</v>
      </c>
      <c r="AZ254" s="1" t="s">
        <v>51</v>
      </c>
    </row>
    <row r="255" spans="1:52" ht="30" customHeight="1" x14ac:dyDescent="0.3">
      <c r="A255" s="19" t="s">
        <v>408</v>
      </c>
      <c r="B255" s="19" t="s">
        <v>296</v>
      </c>
      <c r="C255" s="19" t="s">
        <v>297</v>
      </c>
      <c r="D255" s="20">
        <f>공량산출근거서!K120</f>
        <v>0.2</v>
      </c>
      <c r="E255" s="22">
        <f>단가대비표!O64</f>
        <v>0</v>
      </c>
      <c r="F255" s="25">
        <f>TRUNC(E255*D255,1)</f>
        <v>0</v>
      </c>
      <c r="G255" s="22">
        <f>단가대비표!P64</f>
        <v>408942</v>
      </c>
      <c r="H255" s="25">
        <f>TRUNC(G255*D255,1)</f>
        <v>81788.399999999994</v>
      </c>
      <c r="I255" s="22">
        <f>단가대비표!V64</f>
        <v>0</v>
      </c>
      <c r="J255" s="25">
        <f>TRUNC(I255*D255,1)</f>
        <v>0</v>
      </c>
      <c r="K255" s="22">
        <f t="shared" si="67"/>
        <v>408942</v>
      </c>
      <c r="L255" s="25">
        <f t="shared" si="67"/>
        <v>81788.399999999994</v>
      </c>
      <c r="M255" s="19" t="s">
        <v>51</v>
      </c>
      <c r="N255" s="1" t="s">
        <v>324</v>
      </c>
      <c r="O255" s="1" t="s">
        <v>409</v>
      </c>
      <c r="P255" s="1" t="s">
        <v>62</v>
      </c>
      <c r="Q255" s="1" t="s">
        <v>62</v>
      </c>
      <c r="R255" s="1" t="s">
        <v>61</v>
      </c>
      <c r="V255">
        <v>1</v>
      </c>
      <c r="AV255" s="1" t="s">
        <v>51</v>
      </c>
      <c r="AW255" s="1" t="s">
        <v>588</v>
      </c>
      <c r="AX255" s="1" t="s">
        <v>51</v>
      </c>
      <c r="AY255" s="1" t="s">
        <v>51</v>
      </c>
      <c r="AZ255" s="1" t="s">
        <v>51</v>
      </c>
    </row>
    <row r="256" spans="1:52" ht="30" customHeight="1" x14ac:dyDescent="0.3">
      <c r="A256" s="19" t="s">
        <v>280</v>
      </c>
      <c r="B256" s="19" t="s">
        <v>381</v>
      </c>
      <c r="C256" s="19" t="s">
        <v>229</v>
      </c>
      <c r="D256" s="20">
        <v>1</v>
      </c>
      <c r="E256" s="22">
        <f>TRUNC(SUMIF(V253:V256, RIGHTB(O256, 1), H253:H256)*U256, 2)</f>
        <v>2969.85</v>
      </c>
      <c r="F256" s="25">
        <f>TRUNC(E256*D256,1)</f>
        <v>2969.8</v>
      </c>
      <c r="G256" s="22">
        <v>0</v>
      </c>
      <c r="H256" s="25">
        <f>TRUNC(G256*D256,1)</f>
        <v>0</v>
      </c>
      <c r="I256" s="22">
        <v>0</v>
      </c>
      <c r="J256" s="25">
        <f>TRUNC(I256*D256,1)</f>
        <v>0</v>
      </c>
      <c r="K256" s="22">
        <f t="shared" si="67"/>
        <v>2969.8</v>
      </c>
      <c r="L256" s="25">
        <f t="shared" si="67"/>
        <v>2969.8</v>
      </c>
      <c r="M256" s="19" t="s">
        <v>51</v>
      </c>
      <c r="N256" s="1" t="s">
        <v>324</v>
      </c>
      <c r="O256" s="1" t="s">
        <v>234</v>
      </c>
      <c r="P256" s="1" t="s">
        <v>62</v>
      </c>
      <c r="Q256" s="1" t="s">
        <v>62</v>
      </c>
      <c r="R256" s="1" t="s">
        <v>62</v>
      </c>
      <c r="S256">
        <v>1</v>
      </c>
      <c r="T256">
        <v>0</v>
      </c>
      <c r="U256">
        <v>0.03</v>
      </c>
      <c r="AV256" s="1" t="s">
        <v>51</v>
      </c>
      <c r="AW256" s="1" t="s">
        <v>589</v>
      </c>
      <c r="AX256" s="1" t="s">
        <v>51</v>
      </c>
      <c r="AY256" s="1" t="s">
        <v>51</v>
      </c>
      <c r="AZ256" s="1" t="s">
        <v>51</v>
      </c>
    </row>
    <row r="257" spans="1:52" ht="30" customHeight="1" x14ac:dyDescent="0.3">
      <c r="A257" s="19" t="s">
        <v>283</v>
      </c>
      <c r="B257" s="19" t="s">
        <v>51</v>
      </c>
      <c r="C257" s="19" t="s">
        <v>51</v>
      </c>
      <c r="D257" s="20"/>
      <c r="E257" s="22"/>
      <c r="F257" s="25">
        <f>TRUNC(SUMIF(N253:N256, N252, F253:F256),0)</f>
        <v>6285</v>
      </c>
      <c r="G257" s="22"/>
      <c r="H257" s="25">
        <f>TRUNC(SUMIF(N253:N256, N252, H253:H256),0)</f>
        <v>98995</v>
      </c>
      <c r="I257" s="22"/>
      <c r="J257" s="25">
        <f>TRUNC(SUMIF(N253:N256, N252, J253:J256),0)</f>
        <v>0</v>
      </c>
      <c r="K257" s="22"/>
      <c r="L257" s="25">
        <f>F257+H257+J257</f>
        <v>105280</v>
      </c>
      <c r="M257" s="19" t="s">
        <v>51</v>
      </c>
      <c r="N257" s="1" t="s">
        <v>83</v>
      </c>
      <c r="O257" s="1" t="s">
        <v>83</v>
      </c>
      <c r="P257" s="1" t="s">
        <v>51</v>
      </c>
      <c r="Q257" s="1" t="s">
        <v>51</v>
      </c>
      <c r="R257" s="1" t="s">
        <v>51</v>
      </c>
      <c r="AV257" s="1" t="s">
        <v>51</v>
      </c>
      <c r="AW257" s="1" t="s">
        <v>51</v>
      </c>
      <c r="AX257" s="1" t="s">
        <v>51</v>
      </c>
      <c r="AY257" s="1" t="s">
        <v>51</v>
      </c>
      <c r="AZ257" s="1" t="s">
        <v>51</v>
      </c>
    </row>
    <row r="258" spans="1:52" ht="30" customHeight="1" x14ac:dyDescent="0.3">
      <c r="A258" s="20"/>
      <c r="B258" s="20"/>
      <c r="C258" s="20"/>
      <c r="D258" s="20"/>
      <c r="E258" s="22"/>
      <c r="F258" s="25"/>
      <c r="G258" s="22"/>
      <c r="H258" s="25"/>
      <c r="I258" s="22"/>
      <c r="J258" s="25"/>
      <c r="K258" s="22"/>
      <c r="L258" s="25"/>
      <c r="M258" s="20"/>
    </row>
    <row r="259" spans="1:52" ht="30" customHeight="1" x14ac:dyDescent="0.3">
      <c r="A259" s="16" t="s">
        <v>590</v>
      </c>
      <c r="B259" s="17"/>
      <c r="C259" s="17"/>
      <c r="D259" s="17"/>
      <c r="E259" s="21"/>
      <c r="F259" s="24"/>
      <c r="G259" s="21"/>
      <c r="H259" s="24"/>
      <c r="I259" s="21"/>
      <c r="J259" s="24"/>
      <c r="K259" s="21"/>
      <c r="L259" s="24"/>
      <c r="M259" s="18"/>
      <c r="N259" s="1" t="s">
        <v>344</v>
      </c>
    </row>
    <row r="260" spans="1:52" ht="30" customHeight="1" x14ac:dyDescent="0.3">
      <c r="A260" s="19" t="s">
        <v>591</v>
      </c>
      <c r="B260" s="19" t="s">
        <v>592</v>
      </c>
      <c r="C260" s="19" t="s">
        <v>342</v>
      </c>
      <c r="D260" s="20">
        <v>1.1000000000000001</v>
      </c>
      <c r="E260" s="22">
        <f>단가대비표!O6</f>
        <v>33000</v>
      </c>
      <c r="F260" s="25">
        <f>TRUNC(E260*D260,1)</f>
        <v>36300</v>
      </c>
      <c r="G260" s="22">
        <f>단가대비표!P6</f>
        <v>0</v>
      </c>
      <c r="H260" s="25">
        <f>TRUNC(G260*D260,1)</f>
        <v>0</v>
      </c>
      <c r="I260" s="22">
        <f>단가대비표!V6</f>
        <v>0</v>
      </c>
      <c r="J260" s="25">
        <f>TRUNC(I260*D260,1)</f>
        <v>0</v>
      </c>
      <c r="K260" s="22">
        <f t="shared" ref="K260:L262" si="68">TRUNC(E260+G260+I260,1)</f>
        <v>33000</v>
      </c>
      <c r="L260" s="25">
        <f t="shared" si="68"/>
        <v>36300</v>
      </c>
      <c r="M260" s="19" t="s">
        <v>51</v>
      </c>
      <c r="N260" s="1" t="s">
        <v>344</v>
      </c>
      <c r="O260" s="1" t="s">
        <v>593</v>
      </c>
      <c r="P260" s="1" t="s">
        <v>62</v>
      </c>
      <c r="Q260" s="1" t="s">
        <v>62</v>
      </c>
      <c r="R260" s="1" t="s">
        <v>61</v>
      </c>
      <c r="AV260" s="1" t="s">
        <v>51</v>
      </c>
      <c r="AW260" s="1" t="s">
        <v>594</v>
      </c>
      <c r="AX260" s="1" t="s">
        <v>51</v>
      </c>
      <c r="AY260" s="1" t="s">
        <v>51</v>
      </c>
      <c r="AZ260" s="1" t="s">
        <v>51</v>
      </c>
    </row>
    <row r="261" spans="1:52" ht="30" customHeight="1" x14ac:dyDescent="0.3">
      <c r="A261" s="19" t="s">
        <v>405</v>
      </c>
      <c r="B261" s="19" t="s">
        <v>296</v>
      </c>
      <c r="C261" s="19" t="s">
        <v>297</v>
      </c>
      <c r="D261" s="20">
        <f>공량산출근거서!K123</f>
        <v>1.1000000000000001</v>
      </c>
      <c r="E261" s="22">
        <f>단가대비표!O58</f>
        <v>0</v>
      </c>
      <c r="F261" s="25">
        <f>TRUNC(E261*D261,1)</f>
        <v>0</v>
      </c>
      <c r="G261" s="22">
        <f>단가대비표!P58</f>
        <v>172068</v>
      </c>
      <c r="H261" s="25">
        <f>TRUNC(G261*D261,1)</f>
        <v>189274.8</v>
      </c>
      <c r="I261" s="22">
        <f>단가대비표!V58</f>
        <v>0</v>
      </c>
      <c r="J261" s="25">
        <f>TRUNC(I261*D261,1)</f>
        <v>0</v>
      </c>
      <c r="K261" s="22">
        <f t="shared" si="68"/>
        <v>172068</v>
      </c>
      <c r="L261" s="25">
        <f t="shared" si="68"/>
        <v>189274.8</v>
      </c>
      <c r="M261" s="19" t="s">
        <v>51</v>
      </c>
      <c r="N261" s="1" t="s">
        <v>344</v>
      </c>
      <c r="O261" s="1" t="s">
        <v>406</v>
      </c>
      <c r="P261" s="1" t="s">
        <v>62</v>
      </c>
      <c r="Q261" s="1" t="s">
        <v>62</v>
      </c>
      <c r="R261" s="1" t="s">
        <v>61</v>
      </c>
      <c r="V261">
        <v>1</v>
      </c>
      <c r="AV261" s="1" t="s">
        <v>51</v>
      </c>
      <c r="AW261" s="1" t="s">
        <v>595</v>
      </c>
      <c r="AX261" s="1" t="s">
        <v>51</v>
      </c>
      <c r="AY261" s="1" t="s">
        <v>51</v>
      </c>
      <c r="AZ261" s="1" t="s">
        <v>51</v>
      </c>
    </row>
    <row r="262" spans="1:52" ht="30" customHeight="1" x14ac:dyDescent="0.3">
      <c r="A262" s="19" t="s">
        <v>596</v>
      </c>
      <c r="B262" s="19" t="s">
        <v>597</v>
      </c>
      <c r="C262" s="19" t="s">
        <v>229</v>
      </c>
      <c r="D262" s="20">
        <v>1</v>
      </c>
      <c r="E262" s="22">
        <f>TRUNC(SUMIF(V260:V262, RIGHTB(O262, 1), H260:H262)*U262, 2)</f>
        <v>3785.49</v>
      </c>
      <c r="F262" s="25">
        <f>TRUNC(E262*D262,1)</f>
        <v>3785.4</v>
      </c>
      <c r="G262" s="22">
        <v>0</v>
      </c>
      <c r="H262" s="25">
        <f>TRUNC(G262*D262,1)</f>
        <v>0</v>
      </c>
      <c r="I262" s="22">
        <v>0</v>
      </c>
      <c r="J262" s="25">
        <f>TRUNC(I262*D262,1)</f>
        <v>0</v>
      </c>
      <c r="K262" s="22">
        <f t="shared" si="68"/>
        <v>3785.4</v>
      </c>
      <c r="L262" s="25">
        <f t="shared" si="68"/>
        <v>3785.4</v>
      </c>
      <c r="M262" s="19" t="s">
        <v>51</v>
      </c>
      <c r="N262" s="1" t="s">
        <v>344</v>
      </c>
      <c r="O262" s="1" t="s">
        <v>234</v>
      </c>
      <c r="P262" s="1" t="s">
        <v>62</v>
      </c>
      <c r="Q262" s="1" t="s">
        <v>62</v>
      </c>
      <c r="R262" s="1" t="s">
        <v>62</v>
      </c>
      <c r="S262">
        <v>1</v>
      </c>
      <c r="T262">
        <v>0</v>
      </c>
      <c r="U262">
        <v>0.02</v>
      </c>
      <c r="AV262" s="1" t="s">
        <v>51</v>
      </c>
      <c r="AW262" s="1" t="s">
        <v>598</v>
      </c>
      <c r="AX262" s="1" t="s">
        <v>51</v>
      </c>
      <c r="AY262" s="1" t="s">
        <v>51</v>
      </c>
      <c r="AZ262" s="1" t="s">
        <v>51</v>
      </c>
    </row>
    <row r="263" spans="1:52" ht="30" customHeight="1" x14ac:dyDescent="0.3">
      <c r="A263" s="19" t="s">
        <v>283</v>
      </c>
      <c r="B263" s="19" t="s">
        <v>51</v>
      </c>
      <c r="C263" s="19" t="s">
        <v>51</v>
      </c>
      <c r="D263" s="20"/>
      <c r="E263" s="22"/>
      <c r="F263" s="25">
        <f>TRUNC(SUMIF(N260:N262, N259, F260:F262),0)</f>
        <v>40085</v>
      </c>
      <c r="G263" s="22"/>
      <c r="H263" s="25">
        <f>TRUNC(SUMIF(N260:N262, N259, H260:H262),0)</f>
        <v>189274</v>
      </c>
      <c r="I263" s="22"/>
      <c r="J263" s="25">
        <f>TRUNC(SUMIF(N260:N262, N259, J260:J262),0)</f>
        <v>0</v>
      </c>
      <c r="K263" s="22"/>
      <c r="L263" s="25">
        <f>F263+H263+J263</f>
        <v>229359</v>
      </c>
      <c r="M263" s="19" t="s">
        <v>51</v>
      </c>
      <c r="N263" s="1" t="s">
        <v>83</v>
      </c>
      <c r="O263" s="1" t="s">
        <v>83</v>
      </c>
      <c r="P263" s="1" t="s">
        <v>51</v>
      </c>
      <c r="Q263" s="1" t="s">
        <v>51</v>
      </c>
      <c r="R263" s="1" t="s">
        <v>51</v>
      </c>
      <c r="AV263" s="1" t="s">
        <v>51</v>
      </c>
      <c r="AW263" s="1" t="s">
        <v>51</v>
      </c>
      <c r="AX263" s="1" t="s">
        <v>51</v>
      </c>
      <c r="AY263" s="1" t="s">
        <v>51</v>
      </c>
      <c r="AZ263" s="1" t="s">
        <v>51</v>
      </c>
    </row>
    <row r="264" spans="1:52" ht="30" customHeight="1" x14ac:dyDescent="0.3">
      <c r="A264" s="20"/>
      <c r="B264" s="20"/>
      <c r="C264" s="20"/>
      <c r="D264" s="20"/>
      <c r="E264" s="22"/>
      <c r="F264" s="25"/>
      <c r="G264" s="22"/>
      <c r="H264" s="25"/>
      <c r="I264" s="22"/>
      <c r="J264" s="25"/>
      <c r="K264" s="22"/>
      <c r="L264" s="25"/>
      <c r="M264" s="20"/>
    </row>
    <row r="265" spans="1:52" ht="30" customHeight="1" x14ac:dyDescent="0.3">
      <c r="A265" s="16" t="s">
        <v>599</v>
      </c>
      <c r="B265" s="17"/>
      <c r="C265" s="17"/>
      <c r="D265" s="17"/>
      <c r="E265" s="21"/>
      <c r="F265" s="24"/>
      <c r="G265" s="21"/>
      <c r="H265" s="24"/>
      <c r="I265" s="21"/>
      <c r="J265" s="24"/>
      <c r="K265" s="21"/>
      <c r="L265" s="24"/>
      <c r="M265" s="18"/>
      <c r="N265" s="1" t="s">
        <v>350</v>
      </c>
    </row>
    <row r="266" spans="1:52" ht="30" customHeight="1" x14ac:dyDescent="0.3">
      <c r="A266" s="19" t="s">
        <v>346</v>
      </c>
      <c r="B266" s="19" t="s">
        <v>601</v>
      </c>
      <c r="C266" s="19" t="s">
        <v>602</v>
      </c>
      <c r="D266" s="20">
        <v>0.25030000000000002</v>
      </c>
      <c r="E266" s="22">
        <f>단가대비표!O5</f>
        <v>0</v>
      </c>
      <c r="F266" s="25">
        <f>TRUNC(E266*D266,1)</f>
        <v>0</v>
      </c>
      <c r="G266" s="22">
        <f>단가대비표!P5</f>
        <v>0</v>
      </c>
      <c r="H266" s="25">
        <f>TRUNC(G266*D266,1)</f>
        <v>0</v>
      </c>
      <c r="I266" s="22">
        <f>단가대비표!V5</f>
        <v>82100</v>
      </c>
      <c r="J266" s="25">
        <f>TRUNC(I266*D266,1)</f>
        <v>20549.599999999999</v>
      </c>
      <c r="K266" s="22">
        <f t="shared" ref="K266:L269" si="69">TRUNC(E266+G266+I266,1)</f>
        <v>82100</v>
      </c>
      <c r="L266" s="25">
        <f t="shared" si="69"/>
        <v>20549.599999999999</v>
      </c>
      <c r="M266" s="19" t="s">
        <v>51</v>
      </c>
      <c r="N266" s="1" t="s">
        <v>350</v>
      </c>
      <c r="O266" s="1" t="s">
        <v>603</v>
      </c>
      <c r="P266" s="1" t="s">
        <v>62</v>
      </c>
      <c r="Q266" s="1" t="s">
        <v>62</v>
      </c>
      <c r="R266" s="1" t="s">
        <v>61</v>
      </c>
      <c r="AV266" s="1" t="s">
        <v>51</v>
      </c>
      <c r="AW266" s="1" t="s">
        <v>604</v>
      </c>
      <c r="AX266" s="1" t="s">
        <v>51</v>
      </c>
      <c r="AY266" s="1" t="s">
        <v>51</v>
      </c>
      <c r="AZ266" s="1" t="s">
        <v>51</v>
      </c>
    </row>
    <row r="267" spans="1:52" ht="30" customHeight="1" x14ac:dyDescent="0.3">
      <c r="A267" s="19" t="s">
        <v>605</v>
      </c>
      <c r="B267" s="19" t="s">
        <v>296</v>
      </c>
      <c r="C267" s="19" t="s">
        <v>297</v>
      </c>
      <c r="D267" s="20">
        <v>1</v>
      </c>
      <c r="E267" s="22">
        <f>TRUNC(단가대비표!O62*1/8*16/12*25/20, 1)</f>
        <v>0</v>
      </c>
      <c r="F267" s="25">
        <f>TRUNC(E267*D267,1)</f>
        <v>0</v>
      </c>
      <c r="G267" s="22">
        <f>TRUNC(단가대비표!P62*1/8*16/12*25/20, 1)</f>
        <v>49778.3</v>
      </c>
      <c r="H267" s="25">
        <f>TRUNC(G267*D267,1)</f>
        <v>49778.3</v>
      </c>
      <c r="I267" s="22">
        <f>TRUNC(단가대비표!V62*1/8*16/12*25/20, 1)</f>
        <v>0</v>
      </c>
      <c r="J267" s="25">
        <f>TRUNC(I267*D267,1)</f>
        <v>0</v>
      </c>
      <c r="K267" s="22">
        <f t="shared" si="69"/>
        <v>49778.3</v>
      </c>
      <c r="L267" s="25">
        <f t="shared" si="69"/>
        <v>49778.3</v>
      </c>
      <c r="M267" s="19" t="s">
        <v>51</v>
      </c>
      <c r="N267" s="1" t="s">
        <v>350</v>
      </c>
      <c r="O267" s="1" t="s">
        <v>606</v>
      </c>
      <c r="P267" s="1" t="s">
        <v>62</v>
      </c>
      <c r="Q267" s="1" t="s">
        <v>62</v>
      </c>
      <c r="R267" s="1" t="s">
        <v>61</v>
      </c>
      <c r="AV267" s="1" t="s">
        <v>51</v>
      </c>
      <c r="AW267" s="1" t="s">
        <v>607</v>
      </c>
      <c r="AX267" s="1" t="s">
        <v>61</v>
      </c>
      <c r="AY267" s="1" t="s">
        <v>51</v>
      </c>
      <c r="AZ267" s="1" t="s">
        <v>51</v>
      </c>
    </row>
    <row r="268" spans="1:52" ht="30" customHeight="1" x14ac:dyDescent="0.3">
      <c r="A268" s="19" t="s">
        <v>608</v>
      </c>
      <c r="B268" s="19" t="s">
        <v>609</v>
      </c>
      <c r="C268" s="19" t="s">
        <v>610</v>
      </c>
      <c r="D268" s="20">
        <v>10.3</v>
      </c>
      <c r="E268" s="22">
        <f>단가대비표!O7</f>
        <v>1670</v>
      </c>
      <c r="F268" s="25">
        <f>TRUNC(E268*D268,1)</f>
        <v>17201</v>
      </c>
      <c r="G268" s="22">
        <f>단가대비표!P7</f>
        <v>0</v>
      </c>
      <c r="H268" s="25">
        <f>TRUNC(G268*D268,1)</f>
        <v>0</v>
      </c>
      <c r="I268" s="22">
        <f>단가대비표!V7</f>
        <v>0</v>
      </c>
      <c r="J268" s="25">
        <f>TRUNC(I268*D268,1)</f>
        <v>0</v>
      </c>
      <c r="K268" s="22">
        <f t="shared" si="69"/>
        <v>1670</v>
      </c>
      <c r="L268" s="25">
        <f t="shared" si="69"/>
        <v>17201</v>
      </c>
      <c r="M268" s="19" t="s">
        <v>51</v>
      </c>
      <c r="N268" s="1" t="s">
        <v>350</v>
      </c>
      <c r="O268" s="1" t="s">
        <v>611</v>
      </c>
      <c r="P268" s="1" t="s">
        <v>62</v>
      </c>
      <c r="Q268" s="1" t="s">
        <v>62</v>
      </c>
      <c r="R268" s="1" t="s">
        <v>61</v>
      </c>
      <c r="V268">
        <v>1</v>
      </c>
      <c r="AV268" s="1" t="s">
        <v>51</v>
      </c>
      <c r="AW268" s="1" t="s">
        <v>612</v>
      </c>
      <c r="AX268" s="1" t="s">
        <v>51</v>
      </c>
      <c r="AY268" s="1" t="s">
        <v>51</v>
      </c>
      <c r="AZ268" s="1" t="s">
        <v>51</v>
      </c>
    </row>
    <row r="269" spans="1:52" ht="30" customHeight="1" x14ac:dyDescent="0.3">
      <c r="A269" s="19" t="s">
        <v>613</v>
      </c>
      <c r="B269" s="19" t="s">
        <v>614</v>
      </c>
      <c r="C269" s="19" t="s">
        <v>229</v>
      </c>
      <c r="D269" s="20">
        <v>1</v>
      </c>
      <c r="E269" s="22">
        <f>TRUNC(SUMIF(V266:V269, RIGHTB(O269, 1), F266:F269)*U269, 2)</f>
        <v>3440.2</v>
      </c>
      <c r="F269" s="25">
        <f>TRUNC(E269*D269,1)</f>
        <v>3440.2</v>
      </c>
      <c r="G269" s="22">
        <v>0</v>
      </c>
      <c r="H269" s="25">
        <f>TRUNC(G269*D269,1)</f>
        <v>0</v>
      </c>
      <c r="I269" s="22">
        <v>0</v>
      </c>
      <c r="J269" s="25">
        <f>TRUNC(I269*D269,1)</f>
        <v>0</v>
      </c>
      <c r="K269" s="22">
        <f t="shared" si="69"/>
        <v>3440.2</v>
      </c>
      <c r="L269" s="25">
        <f t="shared" si="69"/>
        <v>3440.2</v>
      </c>
      <c r="M269" s="19" t="s">
        <v>51</v>
      </c>
      <c r="N269" s="1" t="s">
        <v>350</v>
      </c>
      <c r="O269" s="1" t="s">
        <v>234</v>
      </c>
      <c r="P269" s="1" t="s">
        <v>62</v>
      </c>
      <c r="Q269" s="1" t="s">
        <v>62</v>
      </c>
      <c r="R269" s="1" t="s">
        <v>62</v>
      </c>
      <c r="S269">
        <v>0</v>
      </c>
      <c r="T269">
        <v>0</v>
      </c>
      <c r="U269">
        <v>0.2</v>
      </c>
      <c r="AV269" s="1" t="s">
        <v>51</v>
      </c>
      <c r="AW269" s="1" t="s">
        <v>615</v>
      </c>
      <c r="AX269" s="1" t="s">
        <v>51</v>
      </c>
      <c r="AY269" s="1" t="s">
        <v>51</v>
      </c>
      <c r="AZ269" s="1" t="s">
        <v>51</v>
      </c>
    </row>
    <row r="270" spans="1:52" ht="30" customHeight="1" x14ac:dyDescent="0.3">
      <c r="A270" s="19" t="s">
        <v>283</v>
      </c>
      <c r="B270" s="19" t="s">
        <v>51</v>
      </c>
      <c r="C270" s="19" t="s">
        <v>51</v>
      </c>
      <c r="D270" s="20"/>
      <c r="E270" s="22"/>
      <c r="F270" s="25">
        <f>TRUNC(SUMIF(N266:N269, N265, F266:F269),0)</f>
        <v>20641</v>
      </c>
      <c r="G270" s="22"/>
      <c r="H270" s="25">
        <f>TRUNC(SUMIF(N266:N269, N265, H266:H269),0)</f>
        <v>49778</v>
      </c>
      <c r="I270" s="22"/>
      <c r="J270" s="25">
        <f>TRUNC(SUMIF(N266:N269, N265, J266:J269),0)</f>
        <v>20549</v>
      </c>
      <c r="K270" s="22"/>
      <c r="L270" s="25">
        <f>F270+H270+J270</f>
        <v>90968</v>
      </c>
      <c r="M270" s="19" t="s">
        <v>51</v>
      </c>
      <c r="N270" s="1" t="s">
        <v>83</v>
      </c>
      <c r="O270" s="1" t="s">
        <v>83</v>
      </c>
      <c r="P270" s="1" t="s">
        <v>51</v>
      </c>
      <c r="Q270" s="1" t="s">
        <v>51</v>
      </c>
      <c r="R270" s="1" t="s">
        <v>51</v>
      </c>
      <c r="AV270" s="1" t="s">
        <v>51</v>
      </c>
      <c r="AW270" s="1" t="s">
        <v>51</v>
      </c>
      <c r="AX270" s="1" t="s">
        <v>51</v>
      </c>
      <c r="AY270" s="1" t="s">
        <v>51</v>
      </c>
      <c r="AZ270" s="1" t="s">
        <v>51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589C9-1570-4A97-9506-2A7CF5495D72}">
  <sheetPr>
    <pageSetUpPr fitToPage="1"/>
  </sheetPr>
  <dimension ref="A1:AB123"/>
  <sheetViews>
    <sheetView view="pageBreakPreview" topLeftCell="B3" zoomScale="60" zoomScaleNormal="100" workbookViewId="0">
      <selection sqref="A1:X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9" width="0" hidden="1" customWidth="1"/>
  </cols>
  <sheetData>
    <row r="1" spans="1:28" ht="30" customHeight="1" x14ac:dyDescent="0.3">
      <c r="A1" s="32" t="s">
        <v>808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8" ht="30" customHeight="1" x14ac:dyDescent="0.3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28" ht="30" customHeight="1" x14ac:dyDescent="0.3">
      <c r="A3" s="7" t="s">
        <v>245</v>
      </c>
      <c r="B3" s="7" t="s">
        <v>2</v>
      </c>
      <c r="C3" s="7" t="s">
        <v>3</v>
      </c>
      <c r="D3" s="7" t="s">
        <v>4</v>
      </c>
      <c r="E3" s="7" t="s">
        <v>809</v>
      </c>
      <c r="F3" s="7" t="s">
        <v>810</v>
      </c>
      <c r="G3" s="7" t="s">
        <v>253</v>
      </c>
      <c r="H3" s="7" t="s">
        <v>811</v>
      </c>
      <c r="I3" s="7" t="s">
        <v>812</v>
      </c>
      <c r="J3" s="7" t="s">
        <v>813</v>
      </c>
      <c r="K3" s="7" t="s">
        <v>814</v>
      </c>
      <c r="L3" s="7" t="s">
        <v>815</v>
      </c>
      <c r="M3" s="7" t="s">
        <v>816</v>
      </c>
      <c r="N3" s="7" t="s">
        <v>817</v>
      </c>
      <c r="O3" s="7" t="s">
        <v>250</v>
      </c>
      <c r="P3" s="7" t="s">
        <v>818</v>
      </c>
      <c r="Q3" s="1" t="s">
        <v>51</v>
      </c>
      <c r="R3" s="1" t="s">
        <v>51</v>
      </c>
      <c r="S3" s="1" t="s">
        <v>51</v>
      </c>
      <c r="T3" s="1" t="s">
        <v>819</v>
      </c>
      <c r="V3" s="1" t="s">
        <v>405</v>
      </c>
      <c r="W3" s="1" t="s">
        <v>296</v>
      </c>
      <c r="X3" s="1" t="s">
        <v>820</v>
      </c>
      <c r="Y3" s="1" t="s">
        <v>821</v>
      </c>
      <c r="Z3" s="1" t="s">
        <v>295</v>
      </c>
      <c r="AA3" s="1" t="s">
        <v>397</v>
      </c>
      <c r="AB3" s="1" t="s">
        <v>408</v>
      </c>
    </row>
    <row r="4" spans="1:28" ht="30" customHeight="1" x14ac:dyDescent="0.3">
      <c r="A4" s="29"/>
      <c r="B4" s="39" t="s">
        <v>822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</row>
    <row r="5" spans="1:28" ht="30" customHeight="1" x14ac:dyDescent="0.3">
      <c r="A5" s="30" t="s">
        <v>268</v>
      </c>
      <c r="B5" s="30" t="s">
        <v>266</v>
      </c>
      <c r="C5" s="30" t="s">
        <v>267</v>
      </c>
      <c r="D5" s="30" t="s">
        <v>72</v>
      </c>
      <c r="E5" s="30" t="s">
        <v>823</v>
      </c>
      <c r="F5" s="29">
        <v>0</v>
      </c>
      <c r="G5" s="29"/>
      <c r="H5" s="29">
        <v>0</v>
      </c>
      <c r="I5" s="29"/>
      <c r="J5" s="29"/>
      <c r="K5" s="29">
        <v>3</v>
      </c>
      <c r="L5" s="30" t="s">
        <v>405</v>
      </c>
      <c r="M5" s="29">
        <f>0.12*(H5+100)/100*(I5+100)/100*(J5+100)/100</f>
        <v>0.12</v>
      </c>
      <c r="N5" s="29">
        <f>F5*M5</f>
        <v>0</v>
      </c>
      <c r="O5" s="30" t="s">
        <v>754</v>
      </c>
      <c r="P5" s="30" t="s">
        <v>824</v>
      </c>
      <c r="Q5" s="1" t="s">
        <v>60</v>
      </c>
      <c r="R5" s="1" t="s">
        <v>406</v>
      </c>
      <c r="S5">
        <v>0.12</v>
      </c>
      <c r="T5" s="1" t="s">
        <v>269</v>
      </c>
      <c r="V5">
        <f>N5</f>
        <v>0</v>
      </c>
    </row>
    <row r="6" spans="1:28" ht="30" customHeight="1" x14ac:dyDescent="0.3">
      <c r="A6" s="30" t="s">
        <v>51</v>
      </c>
      <c r="B6" s="30" t="s">
        <v>51</v>
      </c>
      <c r="C6" s="30" t="s">
        <v>51</v>
      </c>
      <c r="D6" s="30" t="s">
        <v>51</v>
      </c>
      <c r="E6" s="30" t="s">
        <v>51</v>
      </c>
      <c r="F6" s="29"/>
      <c r="G6" s="29"/>
      <c r="H6" s="29"/>
      <c r="I6" s="29"/>
      <c r="J6" s="29"/>
      <c r="K6" s="29"/>
      <c r="L6" s="30" t="s">
        <v>820</v>
      </c>
      <c r="M6" s="29">
        <f>0.024*(H5+100)/100*(I5+100)/100*(J5+100)/100</f>
        <v>2.4E-2</v>
      </c>
      <c r="N6" s="29">
        <f>F5*M6</f>
        <v>0</v>
      </c>
      <c r="O6" s="30" t="s">
        <v>759</v>
      </c>
      <c r="P6" s="30" t="s">
        <v>825</v>
      </c>
      <c r="Q6" s="1" t="s">
        <v>60</v>
      </c>
      <c r="R6" s="1" t="s">
        <v>826</v>
      </c>
      <c r="S6">
        <v>2.4E-2</v>
      </c>
      <c r="T6" s="1" t="s">
        <v>269</v>
      </c>
      <c r="X6">
        <f>N6</f>
        <v>0</v>
      </c>
    </row>
    <row r="7" spans="1:28" ht="30" customHeight="1" x14ac:dyDescent="0.3">
      <c r="A7" s="30" t="s">
        <v>271</v>
      </c>
      <c r="B7" s="30" t="s">
        <v>266</v>
      </c>
      <c r="C7" s="30" t="s">
        <v>270</v>
      </c>
      <c r="D7" s="30" t="s">
        <v>72</v>
      </c>
      <c r="E7" s="30" t="s">
        <v>823</v>
      </c>
      <c r="F7" s="29">
        <v>0</v>
      </c>
      <c r="G7" s="29"/>
      <c r="H7" s="29">
        <v>0</v>
      </c>
      <c r="I7" s="29"/>
      <c r="J7" s="29"/>
      <c r="K7" s="29">
        <v>3</v>
      </c>
      <c r="L7" s="30" t="s">
        <v>405</v>
      </c>
      <c r="M7" s="29">
        <f>0.2376*(H7+100)/100*(I7+100)/100*(J7+100)/100</f>
        <v>0.23760000000000001</v>
      </c>
      <c r="N7" s="29">
        <f>F7*M7</f>
        <v>0</v>
      </c>
      <c r="O7" s="30" t="s">
        <v>754</v>
      </c>
      <c r="P7" s="30" t="s">
        <v>827</v>
      </c>
      <c r="Q7" s="1" t="s">
        <v>60</v>
      </c>
      <c r="R7" s="1" t="s">
        <v>406</v>
      </c>
      <c r="S7">
        <v>0.23760000000000001</v>
      </c>
      <c r="T7" s="1" t="s">
        <v>272</v>
      </c>
      <c r="V7">
        <f>N7</f>
        <v>0</v>
      </c>
    </row>
    <row r="8" spans="1:28" ht="30" customHeight="1" x14ac:dyDescent="0.3">
      <c r="A8" s="30" t="s">
        <v>51</v>
      </c>
      <c r="B8" s="30" t="s">
        <v>51</v>
      </c>
      <c r="C8" s="30" t="s">
        <v>51</v>
      </c>
      <c r="D8" s="30" t="s">
        <v>51</v>
      </c>
      <c r="E8" s="30" t="s">
        <v>51</v>
      </c>
      <c r="F8" s="29"/>
      <c r="G8" s="29"/>
      <c r="H8" s="29"/>
      <c r="I8" s="29"/>
      <c r="J8" s="29"/>
      <c r="K8" s="29"/>
      <c r="L8" s="30" t="s">
        <v>820</v>
      </c>
      <c r="M8" s="29">
        <f>0.2376*(H7+100)/100*(I7+100)/100*(J7+100)/100</f>
        <v>0.23760000000000001</v>
      </c>
      <c r="N8" s="29">
        <f>F7*M8</f>
        <v>0</v>
      </c>
      <c r="O8" s="30" t="s">
        <v>759</v>
      </c>
      <c r="P8" s="30" t="s">
        <v>827</v>
      </c>
      <c r="Q8" s="1" t="s">
        <v>60</v>
      </c>
      <c r="R8" s="1" t="s">
        <v>826</v>
      </c>
      <c r="S8">
        <v>0.23760000000000001</v>
      </c>
      <c r="T8" s="1" t="s">
        <v>272</v>
      </c>
      <c r="X8">
        <f>N8</f>
        <v>0</v>
      </c>
    </row>
    <row r="9" spans="1:28" ht="30" customHeight="1" x14ac:dyDescent="0.3">
      <c r="A9" s="30" t="s">
        <v>275</v>
      </c>
      <c r="B9" s="30" t="s">
        <v>273</v>
      </c>
      <c r="C9" s="30" t="s">
        <v>274</v>
      </c>
      <c r="D9" s="30" t="s">
        <v>72</v>
      </c>
      <c r="E9" s="30" t="s">
        <v>828</v>
      </c>
      <c r="F9" s="29">
        <v>0</v>
      </c>
      <c r="G9" s="29"/>
      <c r="H9" s="29">
        <v>0</v>
      </c>
      <c r="I9" s="29"/>
      <c r="J9" s="29"/>
      <c r="K9" s="29">
        <v>3</v>
      </c>
      <c r="L9" s="30" t="s">
        <v>405</v>
      </c>
      <c r="M9" s="29">
        <f>0.076*(H9+100)/100*(I9+100)/100*(J9+100)/100</f>
        <v>7.5999999999999998E-2</v>
      </c>
      <c r="N9" s="29">
        <f>F9*M9</f>
        <v>0</v>
      </c>
      <c r="O9" s="30" t="s">
        <v>754</v>
      </c>
      <c r="P9" s="30" t="s">
        <v>829</v>
      </c>
      <c r="Q9" s="1" t="s">
        <v>60</v>
      </c>
      <c r="R9" s="1" t="s">
        <v>406</v>
      </c>
      <c r="S9">
        <v>7.5999999999999998E-2</v>
      </c>
      <c r="T9" s="1" t="s">
        <v>276</v>
      </c>
      <c r="V9">
        <f>N9</f>
        <v>0</v>
      </c>
    </row>
    <row r="10" spans="1:28" ht="30" customHeight="1" x14ac:dyDescent="0.3">
      <c r="A10" s="30" t="s">
        <v>51</v>
      </c>
      <c r="B10" s="30" t="s">
        <v>51</v>
      </c>
      <c r="C10" s="30" t="s">
        <v>51</v>
      </c>
      <c r="D10" s="30" t="s">
        <v>51</v>
      </c>
      <c r="E10" s="30" t="s">
        <v>51</v>
      </c>
      <c r="F10" s="29"/>
      <c r="G10" s="29"/>
      <c r="H10" s="29"/>
      <c r="I10" s="29"/>
      <c r="J10" s="29"/>
      <c r="K10" s="29"/>
      <c r="L10" s="30" t="s">
        <v>821</v>
      </c>
      <c r="M10" s="29">
        <f>0.076*(H9+100)/100*(I9+100)/100*(J9+100)/100</f>
        <v>7.5999999999999998E-2</v>
      </c>
      <c r="N10" s="29">
        <f>F9*M10</f>
        <v>0</v>
      </c>
      <c r="O10" s="30" t="s">
        <v>760</v>
      </c>
      <c r="P10" s="30" t="s">
        <v>829</v>
      </c>
      <c r="Q10" s="1" t="s">
        <v>60</v>
      </c>
      <c r="R10" s="1" t="s">
        <v>830</v>
      </c>
      <c r="S10">
        <v>7.5999999999999998E-2</v>
      </c>
      <c r="T10" s="1" t="s">
        <v>276</v>
      </c>
      <c r="Y10">
        <f>N10</f>
        <v>0</v>
      </c>
    </row>
    <row r="11" spans="1:28" ht="30" customHeight="1" x14ac:dyDescent="0.3">
      <c r="A11" s="30" t="s">
        <v>406</v>
      </c>
      <c r="B11" s="30" t="s">
        <v>405</v>
      </c>
      <c r="C11" s="30" t="s">
        <v>296</v>
      </c>
      <c r="D11" s="30" t="s">
        <v>297</v>
      </c>
      <c r="E11" s="30" t="s">
        <v>51</v>
      </c>
      <c r="F11" s="29"/>
      <c r="G11" s="29"/>
      <c r="H11" s="29"/>
      <c r="I11" s="29"/>
      <c r="J11" s="29"/>
      <c r="K11" s="29"/>
      <c r="L11" s="30" t="s">
        <v>51</v>
      </c>
      <c r="M11" s="29"/>
      <c r="N11" s="29"/>
      <c r="O11" s="30" t="s">
        <v>51</v>
      </c>
      <c r="P11" s="30" t="s">
        <v>51</v>
      </c>
      <c r="Q11" s="1" t="s">
        <v>60</v>
      </c>
      <c r="R11" s="1" t="s">
        <v>51</v>
      </c>
      <c r="T11" s="1" t="s">
        <v>831</v>
      </c>
    </row>
    <row r="12" spans="1:28" ht="30" customHeight="1" x14ac:dyDescent="0.3">
      <c r="A12" s="30" t="s">
        <v>826</v>
      </c>
      <c r="B12" s="30" t="s">
        <v>820</v>
      </c>
      <c r="C12" s="30" t="s">
        <v>296</v>
      </c>
      <c r="D12" s="30" t="s">
        <v>297</v>
      </c>
      <c r="E12" s="30" t="s">
        <v>51</v>
      </c>
      <c r="F12" s="29"/>
      <c r="G12" s="29"/>
      <c r="H12" s="29"/>
      <c r="I12" s="29"/>
      <c r="J12" s="29"/>
      <c r="K12" s="29"/>
      <c r="L12" s="30" t="s">
        <v>51</v>
      </c>
      <c r="M12" s="29"/>
      <c r="N12" s="29"/>
      <c r="O12" s="30" t="s">
        <v>51</v>
      </c>
      <c r="P12" s="30" t="s">
        <v>51</v>
      </c>
      <c r="Q12" s="1" t="s">
        <v>60</v>
      </c>
      <c r="R12" s="1" t="s">
        <v>51</v>
      </c>
      <c r="T12" s="1" t="s">
        <v>832</v>
      </c>
    </row>
    <row r="13" spans="1:28" ht="30" customHeight="1" x14ac:dyDescent="0.3">
      <c r="A13" s="30" t="s">
        <v>830</v>
      </c>
      <c r="B13" s="30" t="s">
        <v>821</v>
      </c>
      <c r="C13" s="30" t="s">
        <v>296</v>
      </c>
      <c r="D13" s="30" t="s">
        <v>297</v>
      </c>
      <c r="E13" s="30" t="s">
        <v>51</v>
      </c>
      <c r="F13" s="29"/>
      <c r="G13" s="29"/>
      <c r="H13" s="29"/>
      <c r="I13" s="29"/>
      <c r="J13" s="29"/>
      <c r="K13" s="29"/>
      <c r="L13" s="30" t="s">
        <v>51</v>
      </c>
      <c r="M13" s="29"/>
      <c r="N13" s="29"/>
      <c r="O13" s="30" t="s">
        <v>51</v>
      </c>
      <c r="P13" s="30" t="s">
        <v>51</v>
      </c>
      <c r="Q13" s="1" t="s">
        <v>60</v>
      </c>
      <c r="R13" s="1" t="s">
        <v>51</v>
      </c>
      <c r="T13" s="1" t="s">
        <v>833</v>
      </c>
    </row>
    <row r="14" spans="1:28" ht="30" customHeight="1" x14ac:dyDescent="0.3">
      <c r="A14" s="29"/>
      <c r="B14" s="39" t="s">
        <v>834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</row>
    <row r="15" spans="1:28" ht="30" customHeight="1" x14ac:dyDescent="0.3">
      <c r="A15" s="30" t="s">
        <v>286</v>
      </c>
      <c r="B15" s="30" t="s">
        <v>64</v>
      </c>
      <c r="C15" s="30" t="s">
        <v>285</v>
      </c>
      <c r="D15" s="30" t="s">
        <v>66</v>
      </c>
      <c r="E15" s="30" t="s">
        <v>835</v>
      </c>
      <c r="F15" s="29">
        <v>1</v>
      </c>
      <c r="G15" s="29">
        <v>0</v>
      </c>
      <c r="H15" s="29">
        <v>-30</v>
      </c>
      <c r="I15" s="29"/>
      <c r="J15" s="29"/>
      <c r="K15" s="29">
        <v>1</v>
      </c>
      <c r="L15" s="30" t="s">
        <v>295</v>
      </c>
      <c r="M15" s="29">
        <f>0.19*(H15+100)/100*(I15+100)/100*(J15+100)/100</f>
        <v>0.13300000000000001</v>
      </c>
      <c r="N15" s="29">
        <f>F15*M15</f>
        <v>0.13300000000000001</v>
      </c>
      <c r="O15" s="30" t="s">
        <v>759</v>
      </c>
      <c r="P15" s="30" t="s">
        <v>836</v>
      </c>
      <c r="Q15" s="1" t="s">
        <v>68</v>
      </c>
      <c r="R15" s="1" t="s">
        <v>298</v>
      </c>
      <c r="S15">
        <v>0.19</v>
      </c>
      <c r="T15" s="1" t="s">
        <v>287</v>
      </c>
      <c r="Z15">
        <f>N15</f>
        <v>0.13300000000000001</v>
      </c>
    </row>
    <row r="16" spans="1:28" ht="30" customHeight="1" x14ac:dyDescent="0.3">
      <c r="A16" s="30" t="s">
        <v>298</v>
      </c>
      <c r="B16" s="30" t="s">
        <v>295</v>
      </c>
      <c r="C16" s="30" t="s">
        <v>296</v>
      </c>
      <c r="D16" s="30" t="s">
        <v>297</v>
      </c>
      <c r="E16" s="30" t="s">
        <v>51</v>
      </c>
      <c r="F16" s="29">
        <f>SUM(Z15:Z15)</f>
        <v>0.13300000000000001</v>
      </c>
      <c r="G16" s="29"/>
      <c r="H16" s="29"/>
      <c r="I16" s="29"/>
      <c r="J16" s="29"/>
      <c r="K16" s="29">
        <f>TRUNC(ROUNDDOWN(F16,공량설정_일위대가!C4+1)*공량설정_일위대가!B3/100, 공량설정_일위대가!C4)</f>
        <v>0.13300000000000001</v>
      </c>
      <c r="L16" s="30" t="s">
        <v>51</v>
      </c>
      <c r="M16" s="29"/>
      <c r="N16" s="29"/>
      <c r="O16" s="29" t="s">
        <v>759</v>
      </c>
      <c r="P16" s="30" t="s">
        <v>51</v>
      </c>
      <c r="Q16" s="1" t="s">
        <v>68</v>
      </c>
      <c r="R16" s="1" t="s">
        <v>51</v>
      </c>
      <c r="T16" s="1" t="s">
        <v>299</v>
      </c>
    </row>
    <row r="17" spans="1:27" ht="30" customHeight="1" x14ac:dyDescent="0.3">
      <c r="A17" s="29"/>
      <c r="B17" s="39" t="s">
        <v>837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</row>
    <row r="18" spans="1:27" ht="30" customHeight="1" x14ac:dyDescent="0.3">
      <c r="A18" s="30" t="s">
        <v>305</v>
      </c>
      <c r="B18" s="30" t="s">
        <v>303</v>
      </c>
      <c r="C18" s="30" t="s">
        <v>304</v>
      </c>
      <c r="D18" s="30" t="s">
        <v>72</v>
      </c>
      <c r="E18" s="30" t="s">
        <v>838</v>
      </c>
      <c r="F18" s="29">
        <v>1</v>
      </c>
      <c r="G18" s="29">
        <v>0</v>
      </c>
      <c r="H18" s="29"/>
      <c r="I18" s="29"/>
      <c r="J18" s="29"/>
      <c r="K18" s="29">
        <v>1</v>
      </c>
      <c r="L18" s="30" t="s">
        <v>295</v>
      </c>
      <c r="M18" s="29">
        <f>0.22*(H18+100)/100*(I18+100)/100*(J18+100)/100</f>
        <v>0.22</v>
      </c>
      <c r="N18" s="29">
        <f>F18*M18</f>
        <v>0.22</v>
      </c>
      <c r="O18" s="30" t="s">
        <v>759</v>
      </c>
      <c r="P18" s="30" t="s">
        <v>839</v>
      </c>
      <c r="Q18" s="1" t="s">
        <v>74</v>
      </c>
      <c r="R18" s="1" t="s">
        <v>298</v>
      </c>
      <c r="S18">
        <v>0.22</v>
      </c>
      <c r="T18" s="1" t="s">
        <v>306</v>
      </c>
      <c r="Z18">
        <f>N18</f>
        <v>0.22</v>
      </c>
    </row>
    <row r="19" spans="1:27" ht="30" customHeight="1" x14ac:dyDescent="0.3">
      <c r="A19" s="30" t="s">
        <v>298</v>
      </c>
      <c r="B19" s="30" t="s">
        <v>295</v>
      </c>
      <c r="C19" s="30" t="s">
        <v>296</v>
      </c>
      <c r="D19" s="30" t="s">
        <v>297</v>
      </c>
      <c r="E19" s="30" t="s">
        <v>51</v>
      </c>
      <c r="F19" s="29">
        <f>SUM(Z18:Z18)</f>
        <v>0.22</v>
      </c>
      <c r="G19" s="29"/>
      <c r="H19" s="29"/>
      <c r="I19" s="29"/>
      <c r="J19" s="29"/>
      <c r="K19" s="29">
        <f>TRUNC(ROUNDDOWN(F19,공량설정_일위대가!C6+1)*공량설정_일위대가!B5/100, 공량설정_일위대가!C6)</f>
        <v>0.22</v>
      </c>
      <c r="L19" s="30" t="s">
        <v>51</v>
      </c>
      <c r="M19" s="29"/>
      <c r="N19" s="29"/>
      <c r="O19" s="29" t="s">
        <v>759</v>
      </c>
      <c r="P19" s="30" t="s">
        <v>51</v>
      </c>
      <c r="Q19" s="1" t="s">
        <v>74</v>
      </c>
      <c r="R19" s="1" t="s">
        <v>51</v>
      </c>
      <c r="T19" s="1" t="s">
        <v>307</v>
      </c>
    </row>
    <row r="20" spans="1:27" ht="30" customHeight="1" x14ac:dyDescent="0.3">
      <c r="A20" s="29"/>
      <c r="B20" s="39" t="s">
        <v>840</v>
      </c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</row>
    <row r="21" spans="1:27" ht="30" customHeight="1" x14ac:dyDescent="0.3">
      <c r="A21" s="30" t="s">
        <v>368</v>
      </c>
      <c r="B21" s="30" t="s">
        <v>64</v>
      </c>
      <c r="C21" s="30" t="s">
        <v>367</v>
      </c>
      <c r="D21" s="30" t="s">
        <v>66</v>
      </c>
      <c r="E21" s="30" t="s">
        <v>835</v>
      </c>
      <c r="F21" s="29">
        <v>1</v>
      </c>
      <c r="G21" s="29">
        <v>0</v>
      </c>
      <c r="H21" s="29">
        <v>20</v>
      </c>
      <c r="I21" s="29"/>
      <c r="J21" s="29"/>
      <c r="K21" s="29">
        <v>1</v>
      </c>
      <c r="L21" s="30" t="s">
        <v>295</v>
      </c>
      <c r="M21" s="29">
        <f>0.08*(H21+100)/100*(I21+100)/100*(J21+100)/100</f>
        <v>9.6000000000000002E-2</v>
      </c>
      <c r="N21" s="29">
        <f>F21*M21</f>
        <v>9.6000000000000002E-2</v>
      </c>
      <c r="O21" s="30" t="s">
        <v>759</v>
      </c>
      <c r="P21" s="30" t="s">
        <v>841</v>
      </c>
      <c r="Q21" s="1" t="s">
        <v>91</v>
      </c>
      <c r="R21" s="1" t="s">
        <v>298</v>
      </c>
      <c r="S21">
        <v>0.08</v>
      </c>
      <c r="T21" s="1" t="s">
        <v>369</v>
      </c>
      <c r="Z21">
        <f>N21</f>
        <v>9.6000000000000002E-2</v>
      </c>
    </row>
    <row r="22" spans="1:27" ht="30" customHeight="1" x14ac:dyDescent="0.3">
      <c r="A22" s="30" t="s">
        <v>368</v>
      </c>
      <c r="B22" s="30" t="s">
        <v>64</v>
      </c>
      <c r="C22" s="30" t="s">
        <v>367</v>
      </c>
      <c r="D22" s="30" t="s">
        <v>66</v>
      </c>
      <c r="E22" s="30" t="s">
        <v>835</v>
      </c>
      <c r="F22" s="29">
        <v>0</v>
      </c>
      <c r="G22" s="29">
        <v>0</v>
      </c>
      <c r="H22" s="29"/>
      <c r="I22" s="29"/>
      <c r="J22" s="29"/>
      <c r="K22" s="29">
        <v>0.1</v>
      </c>
      <c r="L22" s="30" t="s">
        <v>295</v>
      </c>
      <c r="M22" s="29">
        <f>0.08*(H22+100)/100*(I22+100)/100*(J22+100)/100</f>
        <v>0.08</v>
      </c>
      <c r="N22" s="29">
        <f>F22*M22</f>
        <v>0</v>
      </c>
      <c r="O22" s="30" t="s">
        <v>759</v>
      </c>
      <c r="P22" s="30" t="s">
        <v>842</v>
      </c>
      <c r="Q22" s="1" t="s">
        <v>91</v>
      </c>
      <c r="R22" s="1" t="s">
        <v>298</v>
      </c>
      <c r="S22">
        <v>0.08</v>
      </c>
      <c r="T22" s="1" t="s">
        <v>369</v>
      </c>
      <c r="Z22">
        <f>N22</f>
        <v>0</v>
      </c>
    </row>
    <row r="23" spans="1:27" ht="30" customHeight="1" x14ac:dyDescent="0.3">
      <c r="A23" s="30" t="s">
        <v>298</v>
      </c>
      <c r="B23" s="30" t="s">
        <v>295</v>
      </c>
      <c r="C23" s="30" t="s">
        <v>296</v>
      </c>
      <c r="D23" s="30" t="s">
        <v>297</v>
      </c>
      <c r="E23" s="30" t="s">
        <v>51</v>
      </c>
      <c r="F23" s="29">
        <f>SUM(Z21:Z22)</f>
        <v>9.6000000000000002E-2</v>
      </c>
      <c r="G23" s="29"/>
      <c r="H23" s="29"/>
      <c r="I23" s="29"/>
      <c r="J23" s="29"/>
      <c r="K23" s="29">
        <f>TRUNC(ROUNDDOWN(F23,공량설정_일위대가!C13+1)*공량설정_일위대가!B12/100, 공량설정_일위대가!C13)</f>
        <v>9.6000000000000002E-2</v>
      </c>
      <c r="L23" s="30" t="s">
        <v>51</v>
      </c>
      <c r="M23" s="29"/>
      <c r="N23" s="29"/>
      <c r="O23" s="29" t="s">
        <v>759</v>
      </c>
      <c r="P23" s="30" t="s">
        <v>51</v>
      </c>
      <c r="Q23" s="1" t="s">
        <v>91</v>
      </c>
      <c r="R23" s="1" t="s">
        <v>51</v>
      </c>
      <c r="T23" s="1" t="s">
        <v>372</v>
      </c>
    </row>
    <row r="24" spans="1:27" ht="30" customHeight="1" x14ac:dyDescent="0.3">
      <c r="A24" s="29"/>
      <c r="B24" s="39" t="s">
        <v>843</v>
      </c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</row>
    <row r="25" spans="1:27" ht="30" customHeight="1" x14ac:dyDescent="0.3">
      <c r="A25" s="30" t="s">
        <v>376</v>
      </c>
      <c r="B25" s="30" t="s">
        <v>64</v>
      </c>
      <c r="C25" s="30" t="s">
        <v>375</v>
      </c>
      <c r="D25" s="30" t="s">
        <v>66</v>
      </c>
      <c r="E25" s="30" t="s">
        <v>835</v>
      </c>
      <c r="F25" s="29">
        <v>1</v>
      </c>
      <c r="G25" s="29">
        <v>0</v>
      </c>
      <c r="H25" s="29">
        <v>20</v>
      </c>
      <c r="I25" s="29"/>
      <c r="J25" s="29"/>
      <c r="K25" s="29">
        <v>1</v>
      </c>
      <c r="L25" s="30" t="s">
        <v>295</v>
      </c>
      <c r="M25" s="29">
        <f>0.13*(H25+100)/100*(I25+100)/100*(J25+100)/100</f>
        <v>0.15600000000000003</v>
      </c>
      <c r="N25" s="29">
        <f>F25*M25</f>
        <v>0.15600000000000003</v>
      </c>
      <c r="O25" s="30" t="s">
        <v>759</v>
      </c>
      <c r="P25" s="30" t="s">
        <v>844</v>
      </c>
      <c r="Q25" s="1" t="s">
        <v>99</v>
      </c>
      <c r="R25" s="1" t="s">
        <v>298</v>
      </c>
      <c r="S25">
        <v>0.13</v>
      </c>
      <c r="T25" s="1" t="s">
        <v>377</v>
      </c>
      <c r="Z25">
        <f>N25</f>
        <v>0.15600000000000003</v>
      </c>
    </row>
    <row r="26" spans="1:27" ht="30" customHeight="1" x14ac:dyDescent="0.3">
      <c r="A26" s="30" t="s">
        <v>376</v>
      </c>
      <c r="B26" s="30" t="s">
        <v>64</v>
      </c>
      <c r="C26" s="30" t="s">
        <v>375</v>
      </c>
      <c r="D26" s="30" t="s">
        <v>66</v>
      </c>
      <c r="E26" s="30" t="s">
        <v>835</v>
      </c>
      <c r="F26" s="29">
        <v>0</v>
      </c>
      <c r="G26" s="29">
        <v>0</v>
      </c>
      <c r="H26" s="29"/>
      <c r="I26" s="29"/>
      <c r="J26" s="29"/>
      <c r="K26" s="29">
        <v>0.1</v>
      </c>
      <c r="L26" s="30" t="s">
        <v>295</v>
      </c>
      <c r="M26" s="29">
        <f>0.13*(H26+100)/100*(I26+100)/100*(J26+100)/100</f>
        <v>0.13</v>
      </c>
      <c r="N26" s="29">
        <f>F26*M26</f>
        <v>0</v>
      </c>
      <c r="O26" s="30" t="s">
        <v>759</v>
      </c>
      <c r="P26" s="30" t="s">
        <v>845</v>
      </c>
      <c r="Q26" s="1" t="s">
        <v>99</v>
      </c>
      <c r="R26" s="1" t="s">
        <v>298</v>
      </c>
      <c r="S26">
        <v>0.13</v>
      </c>
      <c r="T26" s="1" t="s">
        <v>377</v>
      </c>
      <c r="Z26">
        <f>N26</f>
        <v>0</v>
      </c>
    </row>
    <row r="27" spans="1:27" ht="30" customHeight="1" x14ac:dyDescent="0.3">
      <c r="A27" s="30" t="s">
        <v>298</v>
      </c>
      <c r="B27" s="30" t="s">
        <v>295</v>
      </c>
      <c r="C27" s="30" t="s">
        <v>296</v>
      </c>
      <c r="D27" s="30" t="s">
        <v>297</v>
      </c>
      <c r="E27" s="30" t="s">
        <v>51</v>
      </c>
      <c r="F27" s="29">
        <f>SUM(Z25:Z26)</f>
        <v>0.15600000000000003</v>
      </c>
      <c r="G27" s="29"/>
      <c r="H27" s="29"/>
      <c r="I27" s="29"/>
      <c r="J27" s="29"/>
      <c r="K27" s="29">
        <f>TRUNC(ROUNDDOWN(F27,공량설정_일위대가!C15+1)*공량설정_일위대가!B14/100, 공량설정_일위대가!C15)</f>
        <v>0.156</v>
      </c>
      <c r="L27" s="30" t="s">
        <v>51</v>
      </c>
      <c r="M27" s="29"/>
      <c r="N27" s="29"/>
      <c r="O27" s="29" t="s">
        <v>759</v>
      </c>
      <c r="P27" s="30" t="s">
        <v>51</v>
      </c>
      <c r="Q27" s="1" t="s">
        <v>99</v>
      </c>
      <c r="R27" s="1" t="s">
        <v>51</v>
      </c>
      <c r="T27" s="1" t="s">
        <v>380</v>
      </c>
    </row>
    <row r="28" spans="1:27" ht="30" customHeight="1" x14ac:dyDescent="0.3">
      <c r="A28" s="29"/>
      <c r="B28" s="39" t="s">
        <v>846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</row>
    <row r="29" spans="1:27" ht="30" customHeight="1" x14ac:dyDescent="0.3">
      <c r="A29" s="30" t="s">
        <v>385</v>
      </c>
      <c r="B29" s="30" t="s">
        <v>101</v>
      </c>
      <c r="C29" s="30" t="s">
        <v>384</v>
      </c>
      <c r="D29" s="30" t="s">
        <v>72</v>
      </c>
      <c r="E29" s="30" t="s">
        <v>835</v>
      </c>
      <c r="F29" s="29">
        <v>1</v>
      </c>
      <c r="G29" s="29">
        <v>0</v>
      </c>
      <c r="H29" s="29">
        <v>20</v>
      </c>
      <c r="I29" s="29">
        <v>-10</v>
      </c>
      <c r="J29" s="29"/>
      <c r="K29" s="29">
        <v>1</v>
      </c>
      <c r="L29" s="30" t="s">
        <v>295</v>
      </c>
      <c r="M29" s="29">
        <f>0.044*(H29+100)/100*(I29+100)/100*(J29+100)/100</f>
        <v>4.752E-2</v>
      </c>
      <c r="N29" s="29">
        <f>F29*M29</f>
        <v>4.752E-2</v>
      </c>
      <c r="O29" s="30" t="s">
        <v>759</v>
      </c>
      <c r="P29" s="30" t="s">
        <v>847</v>
      </c>
      <c r="Q29" s="1" t="s">
        <v>104</v>
      </c>
      <c r="R29" s="1" t="s">
        <v>298</v>
      </c>
      <c r="S29">
        <v>4.3999999999999997E-2</v>
      </c>
      <c r="T29" s="1" t="s">
        <v>386</v>
      </c>
      <c r="Z29">
        <f>N29</f>
        <v>4.752E-2</v>
      </c>
    </row>
    <row r="30" spans="1:27" ht="30" customHeight="1" x14ac:dyDescent="0.3">
      <c r="A30" s="30" t="s">
        <v>298</v>
      </c>
      <c r="B30" s="30" t="s">
        <v>295</v>
      </c>
      <c r="C30" s="30" t="s">
        <v>296</v>
      </c>
      <c r="D30" s="30" t="s">
        <v>297</v>
      </c>
      <c r="E30" s="30" t="s">
        <v>51</v>
      </c>
      <c r="F30" s="29">
        <f>SUM(Z29:Z29)</f>
        <v>4.752E-2</v>
      </c>
      <c r="G30" s="29"/>
      <c r="H30" s="29"/>
      <c r="I30" s="29"/>
      <c r="J30" s="29"/>
      <c r="K30" s="29">
        <f>TRUNC(ROUNDDOWN(F30,공량설정_일위대가!C17+1)*공량설정_일위대가!B16/100, 공량설정_일위대가!C17)</f>
        <v>4.7500000000000001E-2</v>
      </c>
      <c r="L30" s="30" t="s">
        <v>51</v>
      </c>
      <c r="M30" s="29"/>
      <c r="N30" s="29"/>
      <c r="O30" s="29" t="s">
        <v>759</v>
      </c>
      <c r="P30" s="30" t="s">
        <v>51</v>
      </c>
      <c r="Q30" s="1" t="s">
        <v>104</v>
      </c>
      <c r="R30" s="1" t="s">
        <v>51</v>
      </c>
      <c r="T30" s="1" t="s">
        <v>389</v>
      </c>
    </row>
    <row r="31" spans="1:27" ht="30" customHeight="1" x14ac:dyDescent="0.3">
      <c r="A31" s="29"/>
      <c r="B31" s="39" t="s">
        <v>848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</row>
    <row r="32" spans="1:27" ht="30" customHeight="1" x14ac:dyDescent="0.3">
      <c r="A32" s="30" t="s">
        <v>394</v>
      </c>
      <c r="B32" s="30" t="s">
        <v>392</v>
      </c>
      <c r="C32" s="30" t="s">
        <v>393</v>
      </c>
      <c r="D32" s="30" t="s">
        <v>66</v>
      </c>
      <c r="E32" s="30" t="s">
        <v>849</v>
      </c>
      <c r="F32" s="29">
        <v>1</v>
      </c>
      <c r="G32" s="29">
        <v>0</v>
      </c>
      <c r="H32" s="29">
        <v>-16</v>
      </c>
      <c r="I32" s="29"/>
      <c r="J32" s="29"/>
      <c r="K32" s="29">
        <v>1</v>
      </c>
      <c r="L32" s="30" t="s">
        <v>397</v>
      </c>
      <c r="M32" s="29">
        <f>0.015*(H32+100)/100*(I32+100)/100*(J32+100)/100</f>
        <v>1.26E-2</v>
      </c>
      <c r="N32" s="29">
        <f>F32*M32</f>
        <v>1.26E-2</v>
      </c>
      <c r="O32" s="30" t="s">
        <v>761</v>
      </c>
      <c r="P32" s="30" t="s">
        <v>850</v>
      </c>
      <c r="Q32" s="1" t="s">
        <v>109</v>
      </c>
      <c r="R32" s="1" t="s">
        <v>398</v>
      </c>
      <c r="S32">
        <v>1.4999999999999999E-2</v>
      </c>
      <c r="T32" s="1" t="s">
        <v>395</v>
      </c>
      <c r="AA32">
        <f>N32</f>
        <v>1.26E-2</v>
      </c>
    </row>
    <row r="33" spans="1:28" ht="30" customHeight="1" x14ac:dyDescent="0.3">
      <c r="A33" s="30" t="s">
        <v>394</v>
      </c>
      <c r="B33" s="30" t="s">
        <v>392</v>
      </c>
      <c r="C33" s="30" t="s">
        <v>393</v>
      </c>
      <c r="D33" s="30" t="s">
        <v>66</v>
      </c>
      <c r="E33" s="30" t="s">
        <v>849</v>
      </c>
      <c r="F33" s="29">
        <v>0.1</v>
      </c>
      <c r="G33" s="29">
        <v>0</v>
      </c>
      <c r="H33" s="29"/>
      <c r="I33" s="29"/>
      <c r="J33" s="29"/>
      <c r="K33" s="29">
        <v>0.1</v>
      </c>
      <c r="L33" s="30" t="s">
        <v>397</v>
      </c>
      <c r="M33" s="29">
        <f>0.015*(H33+100)/100*(I33+100)/100*(J33+100)/100</f>
        <v>1.4999999999999999E-2</v>
      </c>
      <c r="N33" s="29">
        <f>F33*M33</f>
        <v>1.5E-3</v>
      </c>
      <c r="O33" s="30" t="s">
        <v>761</v>
      </c>
      <c r="P33" s="30" t="s">
        <v>851</v>
      </c>
      <c r="Q33" s="1" t="s">
        <v>109</v>
      </c>
      <c r="R33" s="1" t="s">
        <v>398</v>
      </c>
      <c r="S33">
        <v>1.4999999999999999E-2</v>
      </c>
      <c r="T33" s="1" t="s">
        <v>395</v>
      </c>
      <c r="AA33">
        <f>N33</f>
        <v>1.5E-3</v>
      </c>
    </row>
    <row r="34" spans="1:28" ht="30" customHeight="1" x14ac:dyDescent="0.3">
      <c r="A34" s="30" t="s">
        <v>398</v>
      </c>
      <c r="B34" s="30" t="s">
        <v>397</v>
      </c>
      <c r="C34" s="30" t="s">
        <v>296</v>
      </c>
      <c r="D34" s="30" t="s">
        <v>297</v>
      </c>
      <c r="E34" s="30" t="s">
        <v>51</v>
      </c>
      <c r="F34" s="29">
        <f>SUM(AA32:AA33)</f>
        <v>1.41E-2</v>
      </c>
      <c r="G34" s="29"/>
      <c r="H34" s="29"/>
      <c r="I34" s="29"/>
      <c r="J34" s="29"/>
      <c r="K34" s="29">
        <f>TRUNC(ROUNDDOWN(F34,공량설정_일위대가!C19+1)*공량설정_일위대가!B18/100, 공량설정_일위대가!C19)</f>
        <v>1.41E-2</v>
      </c>
      <c r="L34" s="30" t="s">
        <v>51</v>
      </c>
      <c r="M34" s="29"/>
      <c r="N34" s="29"/>
      <c r="O34" s="29" t="s">
        <v>761</v>
      </c>
      <c r="P34" s="30" t="s">
        <v>51</v>
      </c>
      <c r="Q34" s="1" t="s">
        <v>109</v>
      </c>
      <c r="R34" s="1" t="s">
        <v>51</v>
      </c>
      <c r="T34" s="1" t="s">
        <v>399</v>
      </c>
    </row>
    <row r="35" spans="1:28" ht="30" customHeight="1" x14ac:dyDescent="0.3">
      <c r="A35" s="29"/>
      <c r="B35" s="39" t="s">
        <v>852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</row>
    <row r="36" spans="1:28" ht="30" customHeight="1" x14ac:dyDescent="0.3">
      <c r="A36" s="30" t="s">
        <v>402</v>
      </c>
      <c r="B36" s="30" t="s">
        <v>111</v>
      </c>
      <c r="C36" s="30" t="s">
        <v>401</v>
      </c>
      <c r="D36" s="30" t="s">
        <v>66</v>
      </c>
      <c r="E36" s="30" t="s">
        <v>853</v>
      </c>
      <c r="F36" s="29">
        <v>1</v>
      </c>
      <c r="G36" s="29">
        <v>0</v>
      </c>
      <c r="H36" s="29"/>
      <c r="I36" s="29"/>
      <c r="J36" s="29"/>
      <c r="K36" s="29">
        <v>1</v>
      </c>
      <c r="L36" s="30" t="s">
        <v>405</v>
      </c>
      <c r="M36" s="29">
        <f>0.0053*(H36+100)/100*(I36+100)/100*(J36+100)/100</f>
        <v>5.3E-3</v>
      </c>
      <c r="N36" s="29">
        <f>F36*M36</f>
        <v>5.3E-3</v>
      </c>
      <c r="O36" s="30" t="s">
        <v>754</v>
      </c>
      <c r="P36" s="30" t="s">
        <v>854</v>
      </c>
      <c r="Q36" s="1" t="s">
        <v>114</v>
      </c>
      <c r="R36" s="1" t="s">
        <v>406</v>
      </c>
      <c r="S36">
        <v>5.3E-3</v>
      </c>
      <c r="T36" s="1" t="s">
        <v>403</v>
      </c>
      <c r="V36">
        <f>N36</f>
        <v>5.3E-3</v>
      </c>
    </row>
    <row r="37" spans="1:28" ht="30" customHeight="1" x14ac:dyDescent="0.3">
      <c r="A37" s="30" t="s">
        <v>51</v>
      </c>
      <c r="B37" s="30" t="s">
        <v>51</v>
      </c>
      <c r="C37" s="30" t="s">
        <v>51</v>
      </c>
      <c r="D37" s="30" t="s">
        <v>51</v>
      </c>
      <c r="E37" s="30" t="s">
        <v>51</v>
      </c>
      <c r="F37" s="29"/>
      <c r="G37" s="29"/>
      <c r="H37" s="29"/>
      <c r="I37" s="29"/>
      <c r="J37" s="29"/>
      <c r="K37" s="29"/>
      <c r="L37" s="30" t="s">
        <v>408</v>
      </c>
      <c r="M37" s="29">
        <f>0.0048*(H36+100)/100*(I36+100)/100*(J36+100)/100</f>
        <v>4.7999999999999996E-3</v>
      </c>
      <c r="N37" s="29">
        <f>F36*M37</f>
        <v>4.7999999999999996E-3</v>
      </c>
      <c r="O37" s="30" t="s">
        <v>760</v>
      </c>
      <c r="P37" s="30" t="s">
        <v>855</v>
      </c>
      <c r="Q37" s="1" t="s">
        <v>114</v>
      </c>
      <c r="R37" s="1" t="s">
        <v>409</v>
      </c>
      <c r="S37">
        <v>4.7999999999999996E-3</v>
      </c>
      <c r="T37" s="1" t="s">
        <v>403</v>
      </c>
      <c r="AB37">
        <f>N37</f>
        <v>4.7999999999999996E-3</v>
      </c>
    </row>
    <row r="38" spans="1:28" ht="30" customHeight="1" x14ac:dyDescent="0.3">
      <c r="A38" s="30" t="s">
        <v>402</v>
      </c>
      <c r="B38" s="30" t="s">
        <v>111</v>
      </c>
      <c r="C38" s="30" t="s">
        <v>401</v>
      </c>
      <c r="D38" s="30" t="s">
        <v>66</v>
      </c>
      <c r="E38" s="30" t="s">
        <v>853</v>
      </c>
      <c r="F38" s="29">
        <v>0.1</v>
      </c>
      <c r="G38" s="29">
        <v>0</v>
      </c>
      <c r="H38" s="29"/>
      <c r="I38" s="29"/>
      <c r="J38" s="29"/>
      <c r="K38" s="29">
        <v>0.1</v>
      </c>
      <c r="L38" s="30" t="s">
        <v>405</v>
      </c>
      <c r="M38" s="29">
        <f>0.0053*(H38+100)/100*(I38+100)/100*(J38+100)/100</f>
        <v>5.3E-3</v>
      </c>
      <c r="N38" s="29">
        <f>F38*M38</f>
        <v>5.2999999999999998E-4</v>
      </c>
      <c r="O38" s="30" t="s">
        <v>754</v>
      </c>
      <c r="P38" s="30" t="s">
        <v>854</v>
      </c>
      <c r="Q38" s="1" t="s">
        <v>114</v>
      </c>
      <c r="R38" s="1" t="s">
        <v>406</v>
      </c>
      <c r="S38">
        <v>5.3E-3</v>
      </c>
      <c r="T38" s="1" t="s">
        <v>403</v>
      </c>
      <c r="V38">
        <f>N38</f>
        <v>5.2999999999999998E-4</v>
      </c>
    </row>
    <row r="39" spans="1:28" ht="30" customHeight="1" x14ac:dyDescent="0.3">
      <c r="A39" s="30" t="s">
        <v>51</v>
      </c>
      <c r="B39" s="30" t="s">
        <v>51</v>
      </c>
      <c r="C39" s="30" t="s">
        <v>51</v>
      </c>
      <c r="D39" s="30" t="s">
        <v>51</v>
      </c>
      <c r="E39" s="30" t="s">
        <v>51</v>
      </c>
      <c r="F39" s="29"/>
      <c r="G39" s="29"/>
      <c r="H39" s="29"/>
      <c r="I39" s="29"/>
      <c r="J39" s="29"/>
      <c r="K39" s="29"/>
      <c r="L39" s="30" t="s">
        <v>408</v>
      </c>
      <c r="M39" s="29">
        <f>0.0048*(H38+100)/100*(I38+100)/100*(J38+100)/100</f>
        <v>4.7999999999999996E-3</v>
      </c>
      <c r="N39" s="29">
        <f>F38*M39</f>
        <v>4.7999999999999996E-4</v>
      </c>
      <c r="O39" s="30" t="s">
        <v>760</v>
      </c>
      <c r="P39" s="30" t="s">
        <v>855</v>
      </c>
      <c r="Q39" s="1" t="s">
        <v>114</v>
      </c>
      <c r="R39" s="1" t="s">
        <v>409</v>
      </c>
      <c r="S39">
        <v>4.7999999999999996E-3</v>
      </c>
      <c r="T39" s="1" t="s">
        <v>403</v>
      </c>
      <c r="AB39">
        <f>N39</f>
        <v>4.7999999999999996E-4</v>
      </c>
    </row>
    <row r="40" spans="1:28" ht="30" customHeight="1" x14ac:dyDescent="0.3">
      <c r="A40" s="30" t="s">
        <v>406</v>
      </c>
      <c r="B40" s="30" t="s">
        <v>405</v>
      </c>
      <c r="C40" s="30" t="s">
        <v>296</v>
      </c>
      <c r="D40" s="30" t="s">
        <v>297</v>
      </c>
      <c r="E40" s="30" t="s">
        <v>51</v>
      </c>
      <c r="F40" s="29">
        <f>SUM(V36:V39)</f>
        <v>5.8300000000000001E-3</v>
      </c>
      <c r="G40" s="29"/>
      <c r="H40" s="29"/>
      <c r="I40" s="29"/>
      <c r="J40" s="29"/>
      <c r="K40" s="29">
        <f>TRUNC(ROUNDDOWN(F40,공량설정_일위대가!C21+1)*공량설정_일위대가!B20/100, 공량설정_일위대가!C21)</f>
        <v>5.7999999999999996E-3</v>
      </c>
      <c r="L40" s="30" t="s">
        <v>51</v>
      </c>
      <c r="M40" s="29"/>
      <c r="N40" s="29"/>
      <c r="O40" s="29" t="s">
        <v>754</v>
      </c>
      <c r="P40" s="30" t="s">
        <v>51</v>
      </c>
      <c r="Q40" s="1" t="s">
        <v>114</v>
      </c>
      <c r="R40" s="1" t="s">
        <v>51</v>
      </c>
      <c r="T40" s="1" t="s">
        <v>407</v>
      </c>
    </row>
    <row r="41" spans="1:28" ht="30" customHeight="1" x14ac:dyDescent="0.3">
      <c r="A41" s="30" t="s">
        <v>409</v>
      </c>
      <c r="B41" s="30" t="s">
        <v>408</v>
      </c>
      <c r="C41" s="30" t="s">
        <v>296</v>
      </c>
      <c r="D41" s="30" t="s">
        <v>297</v>
      </c>
      <c r="E41" s="30" t="s">
        <v>51</v>
      </c>
      <c r="F41" s="29">
        <f>SUM(AB36:AB39)</f>
        <v>5.28E-3</v>
      </c>
      <c r="G41" s="29"/>
      <c r="H41" s="29"/>
      <c r="I41" s="29"/>
      <c r="J41" s="29"/>
      <c r="K41" s="29">
        <f>TRUNC(ROUNDDOWN(F41,공량설정_일위대가!C22+1)*공량설정_일위대가!B20/100, 공량설정_일위대가!C22)</f>
        <v>5.1999999999999998E-3</v>
      </c>
      <c r="L41" s="30" t="s">
        <v>51</v>
      </c>
      <c r="M41" s="29"/>
      <c r="N41" s="29"/>
      <c r="O41" s="29" t="s">
        <v>760</v>
      </c>
      <c r="P41" s="30" t="s">
        <v>51</v>
      </c>
      <c r="Q41" s="1" t="s">
        <v>114</v>
      </c>
      <c r="R41" s="1" t="s">
        <v>51</v>
      </c>
      <c r="T41" s="1" t="s">
        <v>410</v>
      </c>
    </row>
    <row r="42" spans="1:28" ht="30" customHeight="1" x14ac:dyDescent="0.3">
      <c r="A42" s="29"/>
      <c r="B42" s="39" t="s">
        <v>856</v>
      </c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</row>
    <row r="43" spans="1:28" ht="30" customHeight="1" x14ac:dyDescent="0.3">
      <c r="A43" s="30" t="s">
        <v>415</v>
      </c>
      <c r="B43" s="30" t="s">
        <v>413</v>
      </c>
      <c r="C43" s="30" t="s">
        <v>414</v>
      </c>
      <c r="D43" s="30" t="s">
        <v>66</v>
      </c>
      <c r="E43" s="30" t="s">
        <v>835</v>
      </c>
      <c r="F43" s="29">
        <v>1</v>
      </c>
      <c r="G43" s="29">
        <v>0</v>
      </c>
      <c r="H43" s="29">
        <v>-20</v>
      </c>
      <c r="I43" s="29">
        <v>-10</v>
      </c>
      <c r="J43" s="29"/>
      <c r="K43" s="29">
        <v>1</v>
      </c>
      <c r="L43" s="30" t="s">
        <v>295</v>
      </c>
      <c r="M43" s="29">
        <f>0.05*(H43+100)/100*(I43+100)/100*(J43+100)/100</f>
        <v>3.6000000000000004E-2</v>
      </c>
      <c r="N43" s="29">
        <f>F43*M43</f>
        <v>3.6000000000000004E-2</v>
      </c>
      <c r="O43" s="30" t="s">
        <v>759</v>
      </c>
      <c r="P43" s="30" t="s">
        <v>857</v>
      </c>
      <c r="Q43" s="1" t="s">
        <v>119</v>
      </c>
      <c r="R43" s="1" t="s">
        <v>298</v>
      </c>
      <c r="S43">
        <v>0.05</v>
      </c>
      <c r="T43" s="1" t="s">
        <v>416</v>
      </c>
      <c r="Z43">
        <f>N43</f>
        <v>3.6000000000000004E-2</v>
      </c>
    </row>
    <row r="44" spans="1:28" ht="30" customHeight="1" x14ac:dyDescent="0.3">
      <c r="A44" s="30" t="s">
        <v>298</v>
      </c>
      <c r="B44" s="30" t="s">
        <v>295</v>
      </c>
      <c r="C44" s="30" t="s">
        <v>296</v>
      </c>
      <c r="D44" s="30" t="s">
        <v>297</v>
      </c>
      <c r="E44" s="30" t="s">
        <v>51</v>
      </c>
      <c r="F44" s="29">
        <f>SUM(Z43:Z43)</f>
        <v>3.6000000000000004E-2</v>
      </c>
      <c r="G44" s="29"/>
      <c r="H44" s="29"/>
      <c r="I44" s="29"/>
      <c r="J44" s="29"/>
      <c r="K44" s="29">
        <f>TRUNC(ROUNDDOWN(F44,공량설정_일위대가!C24+1)*공량설정_일위대가!B23/100, 공량설정_일위대가!C24)</f>
        <v>3.5999999999999997E-2</v>
      </c>
      <c r="L44" s="30" t="s">
        <v>51</v>
      </c>
      <c r="M44" s="29"/>
      <c r="N44" s="29"/>
      <c r="O44" s="29" t="s">
        <v>759</v>
      </c>
      <c r="P44" s="30" t="s">
        <v>51</v>
      </c>
      <c r="Q44" s="1" t="s">
        <v>119</v>
      </c>
      <c r="R44" s="1" t="s">
        <v>51</v>
      </c>
      <c r="T44" s="1" t="s">
        <v>420</v>
      </c>
    </row>
    <row r="45" spans="1:28" ht="30" customHeight="1" x14ac:dyDescent="0.3">
      <c r="A45" s="29"/>
      <c r="B45" s="39" t="s">
        <v>858</v>
      </c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</row>
    <row r="46" spans="1:28" ht="30" customHeight="1" x14ac:dyDescent="0.3">
      <c r="A46" s="30" t="s">
        <v>424</v>
      </c>
      <c r="B46" s="30" t="s">
        <v>413</v>
      </c>
      <c r="C46" s="30" t="s">
        <v>423</v>
      </c>
      <c r="D46" s="30" t="s">
        <v>66</v>
      </c>
      <c r="E46" s="30" t="s">
        <v>835</v>
      </c>
      <c r="F46" s="29">
        <v>1</v>
      </c>
      <c r="G46" s="29">
        <v>0</v>
      </c>
      <c r="H46" s="29">
        <v>-20</v>
      </c>
      <c r="I46" s="29">
        <v>-10</v>
      </c>
      <c r="J46" s="29"/>
      <c r="K46" s="29">
        <v>1</v>
      </c>
      <c r="L46" s="30" t="s">
        <v>295</v>
      </c>
      <c r="M46" s="29">
        <f>0.06*(H46+100)/100*(I46+100)/100*(J46+100)/100</f>
        <v>4.3200000000000002E-2</v>
      </c>
      <c r="N46" s="29">
        <f>F46*M46</f>
        <v>4.3200000000000002E-2</v>
      </c>
      <c r="O46" s="30" t="s">
        <v>759</v>
      </c>
      <c r="P46" s="30" t="s">
        <v>859</v>
      </c>
      <c r="Q46" s="1" t="s">
        <v>123</v>
      </c>
      <c r="R46" s="1" t="s">
        <v>298</v>
      </c>
      <c r="S46">
        <v>0.06</v>
      </c>
      <c r="T46" s="1" t="s">
        <v>425</v>
      </c>
      <c r="Z46">
        <f>N46</f>
        <v>4.3200000000000002E-2</v>
      </c>
    </row>
    <row r="47" spans="1:28" ht="30" customHeight="1" x14ac:dyDescent="0.3">
      <c r="A47" s="30" t="s">
        <v>298</v>
      </c>
      <c r="B47" s="30" t="s">
        <v>295</v>
      </c>
      <c r="C47" s="30" t="s">
        <v>296</v>
      </c>
      <c r="D47" s="30" t="s">
        <v>297</v>
      </c>
      <c r="E47" s="30" t="s">
        <v>51</v>
      </c>
      <c r="F47" s="29">
        <f>SUM(Z46:Z46)</f>
        <v>4.3200000000000002E-2</v>
      </c>
      <c r="G47" s="29"/>
      <c r="H47" s="29"/>
      <c r="I47" s="29"/>
      <c r="J47" s="29"/>
      <c r="K47" s="29">
        <f>TRUNC(ROUNDDOWN(F47,공량설정_일위대가!C26+1)*공량설정_일위대가!B25/100, 공량설정_일위대가!C26)</f>
        <v>4.3200000000000002E-2</v>
      </c>
      <c r="L47" s="30" t="s">
        <v>51</v>
      </c>
      <c r="M47" s="29"/>
      <c r="N47" s="29"/>
      <c r="O47" s="29" t="s">
        <v>759</v>
      </c>
      <c r="P47" s="30" t="s">
        <v>51</v>
      </c>
      <c r="Q47" s="1" t="s">
        <v>123</v>
      </c>
      <c r="R47" s="1" t="s">
        <v>51</v>
      </c>
      <c r="T47" s="1" t="s">
        <v>428</v>
      </c>
    </row>
    <row r="48" spans="1:28" ht="30" customHeight="1" x14ac:dyDescent="0.3">
      <c r="A48" s="29"/>
      <c r="B48" s="39" t="s">
        <v>860</v>
      </c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</row>
    <row r="49" spans="1:27" ht="30" customHeight="1" x14ac:dyDescent="0.3">
      <c r="A49" s="30" t="s">
        <v>432</v>
      </c>
      <c r="B49" s="30" t="s">
        <v>413</v>
      </c>
      <c r="C49" s="30" t="s">
        <v>431</v>
      </c>
      <c r="D49" s="30" t="s">
        <v>66</v>
      </c>
      <c r="E49" s="30" t="s">
        <v>835</v>
      </c>
      <c r="F49" s="29">
        <v>1</v>
      </c>
      <c r="G49" s="29">
        <v>0</v>
      </c>
      <c r="H49" s="29">
        <v>-20</v>
      </c>
      <c r="I49" s="29">
        <v>-10</v>
      </c>
      <c r="J49" s="29"/>
      <c r="K49" s="29">
        <v>1</v>
      </c>
      <c r="L49" s="30" t="s">
        <v>295</v>
      </c>
      <c r="M49" s="29">
        <f>0.08*(H49+100)/100*(I49+100)/100*(J49+100)/100</f>
        <v>5.7599999999999998E-2</v>
      </c>
      <c r="N49" s="29">
        <f>F49*M49</f>
        <v>5.7599999999999998E-2</v>
      </c>
      <c r="O49" s="30" t="s">
        <v>759</v>
      </c>
      <c r="P49" s="30" t="s">
        <v>861</v>
      </c>
      <c r="Q49" s="1" t="s">
        <v>127</v>
      </c>
      <c r="R49" s="1" t="s">
        <v>298</v>
      </c>
      <c r="S49">
        <v>0.08</v>
      </c>
      <c r="T49" s="1" t="s">
        <v>433</v>
      </c>
      <c r="Z49">
        <f>N49</f>
        <v>5.7599999999999998E-2</v>
      </c>
    </row>
    <row r="50" spans="1:27" ht="30" customHeight="1" x14ac:dyDescent="0.3">
      <c r="A50" s="30" t="s">
        <v>298</v>
      </c>
      <c r="B50" s="30" t="s">
        <v>295</v>
      </c>
      <c r="C50" s="30" t="s">
        <v>296</v>
      </c>
      <c r="D50" s="30" t="s">
        <v>297</v>
      </c>
      <c r="E50" s="30" t="s">
        <v>51</v>
      </c>
      <c r="F50" s="29">
        <f>SUM(Z49:Z49)</f>
        <v>5.7599999999999998E-2</v>
      </c>
      <c r="G50" s="29"/>
      <c r="H50" s="29"/>
      <c r="I50" s="29"/>
      <c r="J50" s="29"/>
      <c r="K50" s="29">
        <f>TRUNC(ROUNDDOWN(F50,공량설정_일위대가!C28+1)*공량설정_일위대가!B27/100, 공량설정_일위대가!C28)</f>
        <v>5.7599999999999998E-2</v>
      </c>
      <c r="L50" s="30" t="s">
        <v>51</v>
      </c>
      <c r="M50" s="29"/>
      <c r="N50" s="29"/>
      <c r="O50" s="29" t="s">
        <v>759</v>
      </c>
      <c r="P50" s="30" t="s">
        <v>51</v>
      </c>
      <c r="Q50" s="1" t="s">
        <v>127</v>
      </c>
      <c r="R50" s="1" t="s">
        <v>51</v>
      </c>
      <c r="T50" s="1" t="s">
        <v>436</v>
      </c>
    </row>
    <row r="51" spans="1:27" ht="30" customHeight="1" x14ac:dyDescent="0.3">
      <c r="A51" s="29"/>
      <c r="B51" s="39" t="s">
        <v>862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</row>
    <row r="52" spans="1:27" ht="30" customHeight="1" x14ac:dyDescent="0.3">
      <c r="A52" s="30" t="s">
        <v>440</v>
      </c>
      <c r="B52" s="30" t="s">
        <v>129</v>
      </c>
      <c r="C52" s="30" t="s">
        <v>439</v>
      </c>
      <c r="D52" s="30" t="s">
        <v>72</v>
      </c>
      <c r="E52" s="30" t="s">
        <v>838</v>
      </c>
      <c r="F52" s="29">
        <v>1</v>
      </c>
      <c r="G52" s="29">
        <v>0</v>
      </c>
      <c r="H52" s="29"/>
      <c r="I52" s="29"/>
      <c r="J52" s="29"/>
      <c r="K52" s="29">
        <v>1</v>
      </c>
      <c r="L52" s="30" t="s">
        <v>295</v>
      </c>
      <c r="M52" s="29">
        <f>0.18*(H52+100)/100*(I52+100)/100*(J52+100)/100</f>
        <v>0.18</v>
      </c>
      <c r="N52" s="29">
        <f>F52*M52</f>
        <v>0.18</v>
      </c>
      <c r="O52" s="30" t="s">
        <v>759</v>
      </c>
      <c r="P52" s="30" t="s">
        <v>863</v>
      </c>
      <c r="Q52" s="1" t="s">
        <v>132</v>
      </c>
      <c r="R52" s="1" t="s">
        <v>298</v>
      </c>
      <c r="S52">
        <v>0.18</v>
      </c>
      <c r="T52" s="1" t="s">
        <v>441</v>
      </c>
      <c r="Z52">
        <f>N52</f>
        <v>0.18</v>
      </c>
    </row>
    <row r="53" spans="1:27" ht="30" customHeight="1" x14ac:dyDescent="0.3">
      <c r="A53" s="30" t="s">
        <v>298</v>
      </c>
      <c r="B53" s="30" t="s">
        <v>295</v>
      </c>
      <c r="C53" s="30" t="s">
        <v>296</v>
      </c>
      <c r="D53" s="30" t="s">
        <v>297</v>
      </c>
      <c r="E53" s="30" t="s">
        <v>51</v>
      </c>
      <c r="F53" s="29">
        <f>SUM(Z52:Z52)</f>
        <v>0.18</v>
      </c>
      <c r="G53" s="29"/>
      <c r="H53" s="29"/>
      <c r="I53" s="29"/>
      <c r="J53" s="29"/>
      <c r="K53" s="29">
        <f>TRUNC(ROUNDDOWN(F53,공량설정_일위대가!C30+1)*공량설정_일위대가!B29/100, 공량설정_일위대가!C30)</f>
        <v>0.18</v>
      </c>
      <c r="L53" s="30" t="s">
        <v>51</v>
      </c>
      <c r="M53" s="29"/>
      <c r="N53" s="29"/>
      <c r="O53" s="29" t="s">
        <v>759</v>
      </c>
      <c r="P53" s="30" t="s">
        <v>51</v>
      </c>
      <c r="Q53" s="1" t="s">
        <v>132</v>
      </c>
      <c r="R53" s="1" t="s">
        <v>51</v>
      </c>
      <c r="T53" s="1" t="s">
        <v>442</v>
      </c>
    </row>
    <row r="54" spans="1:27" ht="30" customHeight="1" x14ac:dyDescent="0.3">
      <c r="A54" s="29"/>
      <c r="B54" s="39" t="s">
        <v>864</v>
      </c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</row>
    <row r="55" spans="1:27" ht="30" customHeight="1" x14ac:dyDescent="0.3">
      <c r="A55" s="30" t="s">
        <v>447</v>
      </c>
      <c r="B55" s="30" t="s">
        <v>445</v>
      </c>
      <c r="C55" s="30" t="s">
        <v>446</v>
      </c>
      <c r="D55" s="30" t="s">
        <v>72</v>
      </c>
      <c r="E55" s="30" t="s">
        <v>838</v>
      </c>
      <c r="F55" s="29">
        <v>1</v>
      </c>
      <c r="G55" s="29">
        <v>0</v>
      </c>
      <c r="H55" s="29"/>
      <c r="I55" s="29"/>
      <c r="J55" s="29"/>
      <c r="K55" s="29">
        <v>1</v>
      </c>
      <c r="L55" s="30" t="s">
        <v>295</v>
      </c>
      <c r="M55" s="29">
        <f>0.18*(H55+100)/100*(I55+100)/100*(J55+100)/100</f>
        <v>0.18</v>
      </c>
      <c r="N55" s="29">
        <f>F55*M55</f>
        <v>0.18</v>
      </c>
      <c r="O55" s="30" t="s">
        <v>759</v>
      </c>
      <c r="P55" s="30" t="s">
        <v>863</v>
      </c>
      <c r="Q55" s="1" t="s">
        <v>137</v>
      </c>
      <c r="R55" s="1" t="s">
        <v>298</v>
      </c>
      <c r="S55">
        <v>0.18</v>
      </c>
      <c r="T55" s="1" t="s">
        <v>448</v>
      </c>
      <c r="Z55">
        <f>N55</f>
        <v>0.18</v>
      </c>
    </row>
    <row r="56" spans="1:27" ht="30" customHeight="1" x14ac:dyDescent="0.3">
      <c r="A56" s="30" t="s">
        <v>298</v>
      </c>
      <c r="B56" s="30" t="s">
        <v>295</v>
      </c>
      <c r="C56" s="30" t="s">
        <v>296</v>
      </c>
      <c r="D56" s="30" t="s">
        <v>297</v>
      </c>
      <c r="E56" s="30" t="s">
        <v>51</v>
      </c>
      <c r="F56" s="29">
        <f>SUM(Z55:Z55)</f>
        <v>0.18</v>
      </c>
      <c r="G56" s="29"/>
      <c r="H56" s="29"/>
      <c r="I56" s="29"/>
      <c r="J56" s="29"/>
      <c r="K56" s="29">
        <f>TRUNC(ROUNDDOWN(F56,공량설정_일위대가!C32+1)*공량설정_일위대가!B31/100, 공량설정_일위대가!C32)</f>
        <v>0.18</v>
      </c>
      <c r="L56" s="30" t="s">
        <v>51</v>
      </c>
      <c r="M56" s="29"/>
      <c r="N56" s="29"/>
      <c r="O56" s="29" t="s">
        <v>759</v>
      </c>
      <c r="P56" s="30" t="s">
        <v>51</v>
      </c>
      <c r="Q56" s="1" t="s">
        <v>137</v>
      </c>
      <c r="R56" s="1" t="s">
        <v>51</v>
      </c>
      <c r="T56" s="1" t="s">
        <v>449</v>
      </c>
    </row>
    <row r="57" spans="1:27" ht="30" customHeight="1" x14ac:dyDescent="0.3">
      <c r="A57" s="29"/>
      <c r="B57" s="39" t="s">
        <v>865</v>
      </c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</row>
    <row r="58" spans="1:27" ht="30" customHeight="1" x14ac:dyDescent="0.3">
      <c r="A58" s="30" t="s">
        <v>454</v>
      </c>
      <c r="B58" s="30" t="s">
        <v>452</v>
      </c>
      <c r="C58" s="30" t="s">
        <v>453</v>
      </c>
      <c r="D58" s="30" t="s">
        <v>66</v>
      </c>
      <c r="E58" s="30" t="s">
        <v>849</v>
      </c>
      <c r="F58" s="29">
        <v>1</v>
      </c>
      <c r="G58" s="29">
        <v>0</v>
      </c>
      <c r="H58" s="29">
        <v>-10</v>
      </c>
      <c r="I58" s="29"/>
      <c r="J58" s="29"/>
      <c r="K58" s="29">
        <v>1</v>
      </c>
      <c r="L58" s="30" t="s">
        <v>397</v>
      </c>
      <c r="M58" s="29">
        <f>0.024*(H58+100)/100*(I58+100)/100*(J58+100)/100</f>
        <v>2.1600000000000001E-2</v>
      </c>
      <c r="N58" s="29">
        <f>F58*M58</f>
        <v>2.1600000000000001E-2</v>
      </c>
      <c r="O58" s="30" t="s">
        <v>761</v>
      </c>
      <c r="P58" s="30" t="s">
        <v>866</v>
      </c>
      <c r="Q58" s="1" t="s">
        <v>142</v>
      </c>
      <c r="R58" s="1" t="s">
        <v>398</v>
      </c>
      <c r="S58">
        <v>2.4E-2</v>
      </c>
      <c r="T58" s="1" t="s">
        <v>455</v>
      </c>
      <c r="AA58">
        <f>N58</f>
        <v>2.1600000000000001E-2</v>
      </c>
    </row>
    <row r="59" spans="1:27" ht="30" customHeight="1" x14ac:dyDescent="0.3">
      <c r="A59" s="30" t="s">
        <v>454</v>
      </c>
      <c r="B59" s="30" t="s">
        <v>452</v>
      </c>
      <c r="C59" s="30" t="s">
        <v>453</v>
      </c>
      <c r="D59" s="30" t="s">
        <v>66</v>
      </c>
      <c r="E59" s="30" t="s">
        <v>849</v>
      </c>
      <c r="F59" s="29">
        <v>0.1</v>
      </c>
      <c r="G59" s="29">
        <v>0</v>
      </c>
      <c r="H59" s="29"/>
      <c r="I59" s="29"/>
      <c r="J59" s="29"/>
      <c r="K59" s="29">
        <v>0.1</v>
      </c>
      <c r="L59" s="30" t="s">
        <v>397</v>
      </c>
      <c r="M59" s="29">
        <f>0.024*(H59+100)/100*(I59+100)/100*(J59+100)/100</f>
        <v>2.4E-2</v>
      </c>
      <c r="N59" s="29">
        <f>F59*M59</f>
        <v>2.4000000000000002E-3</v>
      </c>
      <c r="O59" s="30" t="s">
        <v>761</v>
      </c>
      <c r="P59" s="30" t="s">
        <v>825</v>
      </c>
      <c r="Q59" s="1" t="s">
        <v>142</v>
      </c>
      <c r="R59" s="1" t="s">
        <v>398</v>
      </c>
      <c r="S59">
        <v>2.4E-2</v>
      </c>
      <c r="T59" s="1" t="s">
        <v>455</v>
      </c>
      <c r="AA59">
        <f>N59</f>
        <v>2.4000000000000002E-3</v>
      </c>
    </row>
    <row r="60" spans="1:27" ht="30" customHeight="1" x14ac:dyDescent="0.3">
      <c r="A60" s="30" t="s">
        <v>398</v>
      </c>
      <c r="B60" s="30" t="s">
        <v>397</v>
      </c>
      <c r="C60" s="30" t="s">
        <v>296</v>
      </c>
      <c r="D60" s="30" t="s">
        <v>297</v>
      </c>
      <c r="E60" s="30" t="s">
        <v>51</v>
      </c>
      <c r="F60" s="29">
        <f>SUM(AA58:AA59)</f>
        <v>2.4E-2</v>
      </c>
      <c r="G60" s="29"/>
      <c r="H60" s="29"/>
      <c r="I60" s="29"/>
      <c r="J60" s="29"/>
      <c r="K60" s="29">
        <f>TRUNC(ROUNDDOWN(F60,공량설정_일위대가!C34+1)*공량설정_일위대가!B33/100, 공량설정_일위대가!C34)</f>
        <v>2.4E-2</v>
      </c>
      <c r="L60" s="30" t="s">
        <v>51</v>
      </c>
      <c r="M60" s="29"/>
      <c r="N60" s="29"/>
      <c r="O60" s="29" t="s">
        <v>761</v>
      </c>
      <c r="P60" s="30" t="s">
        <v>51</v>
      </c>
      <c r="Q60" s="1" t="s">
        <v>142</v>
      </c>
      <c r="R60" s="1" t="s">
        <v>51</v>
      </c>
      <c r="T60" s="1" t="s">
        <v>457</v>
      </c>
    </row>
    <row r="61" spans="1:27" ht="30" customHeight="1" x14ac:dyDescent="0.3">
      <c r="A61" s="29"/>
      <c r="B61" s="39" t="s">
        <v>867</v>
      </c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27" ht="30" customHeight="1" x14ac:dyDescent="0.3">
      <c r="A62" s="30" t="s">
        <v>461</v>
      </c>
      <c r="B62" s="30" t="s">
        <v>392</v>
      </c>
      <c r="C62" s="30" t="s">
        <v>460</v>
      </c>
      <c r="D62" s="30" t="s">
        <v>66</v>
      </c>
      <c r="E62" s="30" t="s">
        <v>849</v>
      </c>
      <c r="F62" s="29">
        <v>1</v>
      </c>
      <c r="G62" s="29">
        <v>0</v>
      </c>
      <c r="H62" s="29"/>
      <c r="I62" s="29"/>
      <c r="J62" s="29"/>
      <c r="K62" s="29">
        <v>1</v>
      </c>
      <c r="L62" s="30" t="s">
        <v>397</v>
      </c>
      <c r="M62" s="29">
        <f>0.015*(H62+100)/100*(I62+100)/100*(J62+100)/100</f>
        <v>1.4999999999999999E-2</v>
      </c>
      <c r="N62" s="29">
        <f>F62*M62</f>
        <v>1.4999999999999999E-2</v>
      </c>
      <c r="O62" s="30" t="s">
        <v>761</v>
      </c>
      <c r="P62" s="30" t="s">
        <v>851</v>
      </c>
      <c r="Q62" s="1" t="s">
        <v>146</v>
      </c>
      <c r="R62" s="1" t="s">
        <v>398</v>
      </c>
      <c r="S62">
        <v>1.4999999999999999E-2</v>
      </c>
      <c r="T62" s="1" t="s">
        <v>462</v>
      </c>
      <c r="AA62">
        <f>N62</f>
        <v>1.4999999999999999E-2</v>
      </c>
    </row>
    <row r="63" spans="1:27" ht="30" customHeight="1" x14ac:dyDescent="0.3">
      <c r="A63" s="30" t="s">
        <v>398</v>
      </c>
      <c r="B63" s="30" t="s">
        <v>397</v>
      </c>
      <c r="C63" s="30" t="s">
        <v>296</v>
      </c>
      <c r="D63" s="30" t="s">
        <v>297</v>
      </c>
      <c r="E63" s="30" t="s">
        <v>51</v>
      </c>
      <c r="F63" s="29">
        <f>SUM(AA62:AA62)</f>
        <v>1.4999999999999999E-2</v>
      </c>
      <c r="G63" s="29"/>
      <c r="H63" s="29"/>
      <c r="I63" s="29"/>
      <c r="J63" s="29"/>
      <c r="K63" s="29">
        <f>TRUNC(ROUNDDOWN(F63,공량설정_일위대가!C36+1)*공량설정_일위대가!B35/100, 공량설정_일위대가!C36)</f>
        <v>1.4999999999999999E-2</v>
      </c>
      <c r="L63" s="30" t="s">
        <v>51</v>
      </c>
      <c r="M63" s="29"/>
      <c r="N63" s="29"/>
      <c r="O63" s="29" t="s">
        <v>761</v>
      </c>
      <c r="P63" s="30" t="s">
        <v>51</v>
      </c>
      <c r="Q63" s="1" t="s">
        <v>146</v>
      </c>
      <c r="R63" s="1" t="s">
        <v>51</v>
      </c>
      <c r="T63" s="1" t="s">
        <v>464</v>
      </c>
    </row>
    <row r="64" spans="1:27" ht="30" customHeight="1" x14ac:dyDescent="0.3">
      <c r="A64" s="29"/>
      <c r="B64" s="39" t="s">
        <v>868</v>
      </c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</row>
    <row r="65" spans="1:28" ht="30" customHeight="1" x14ac:dyDescent="0.3">
      <c r="A65" s="30" t="s">
        <v>467</v>
      </c>
      <c r="B65" s="30" t="s">
        <v>392</v>
      </c>
      <c r="C65" s="30" t="s">
        <v>466</v>
      </c>
      <c r="D65" s="30" t="s">
        <v>66</v>
      </c>
      <c r="E65" s="30" t="s">
        <v>849</v>
      </c>
      <c r="F65" s="29">
        <v>1</v>
      </c>
      <c r="G65" s="29">
        <v>0</v>
      </c>
      <c r="H65" s="29">
        <v>-10</v>
      </c>
      <c r="I65" s="29"/>
      <c r="J65" s="29"/>
      <c r="K65" s="29">
        <v>1</v>
      </c>
      <c r="L65" s="30" t="s">
        <v>397</v>
      </c>
      <c r="M65" s="29">
        <f>0.015*(H65+100)/100*(I65+100)/100*(J65+100)/100</f>
        <v>1.3499999999999998E-2</v>
      </c>
      <c r="N65" s="29">
        <f>F65*M65</f>
        <v>1.3499999999999998E-2</v>
      </c>
      <c r="O65" s="30" t="s">
        <v>761</v>
      </c>
      <c r="P65" s="30" t="s">
        <v>869</v>
      </c>
      <c r="Q65" s="1" t="s">
        <v>150</v>
      </c>
      <c r="R65" s="1" t="s">
        <v>398</v>
      </c>
      <c r="S65">
        <v>1.4999999999999999E-2</v>
      </c>
      <c r="T65" s="1" t="s">
        <v>468</v>
      </c>
      <c r="AA65">
        <f>N65</f>
        <v>1.3499999999999998E-2</v>
      </c>
    </row>
    <row r="66" spans="1:28" ht="30" customHeight="1" x14ac:dyDescent="0.3">
      <c r="A66" s="30" t="s">
        <v>467</v>
      </c>
      <c r="B66" s="30" t="s">
        <v>392</v>
      </c>
      <c r="C66" s="30" t="s">
        <v>466</v>
      </c>
      <c r="D66" s="30" t="s">
        <v>66</v>
      </c>
      <c r="E66" s="30" t="s">
        <v>849</v>
      </c>
      <c r="F66" s="29">
        <v>0.1</v>
      </c>
      <c r="G66" s="29">
        <v>0</v>
      </c>
      <c r="H66" s="29"/>
      <c r="I66" s="29"/>
      <c r="J66" s="29"/>
      <c r="K66" s="29">
        <v>0.1</v>
      </c>
      <c r="L66" s="30" t="s">
        <v>397</v>
      </c>
      <c r="M66" s="29">
        <f>0.015*(H66+100)/100*(I66+100)/100*(J66+100)/100</f>
        <v>1.4999999999999999E-2</v>
      </c>
      <c r="N66" s="29">
        <f>F66*M66</f>
        <v>1.5E-3</v>
      </c>
      <c r="O66" s="30" t="s">
        <v>761</v>
      </c>
      <c r="P66" s="30" t="s">
        <v>851</v>
      </c>
      <c r="Q66" s="1" t="s">
        <v>150</v>
      </c>
      <c r="R66" s="1" t="s">
        <v>398</v>
      </c>
      <c r="S66">
        <v>1.4999999999999999E-2</v>
      </c>
      <c r="T66" s="1" t="s">
        <v>468</v>
      </c>
      <c r="AA66">
        <f>N66</f>
        <v>1.5E-3</v>
      </c>
    </row>
    <row r="67" spans="1:28" ht="30" customHeight="1" x14ac:dyDescent="0.3">
      <c r="A67" s="30" t="s">
        <v>398</v>
      </c>
      <c r="B67" s="30" t="s">
        <v>397</v>
      </c>
      <c r="C67" s="30" t="s">
        <v>296</v>
      </c>
      <c r="D67" s="30" t="s">
        <v>297</v>
      </c>
      <c r="E67" s="30" t="s">
        <v>51</v>
      </c>
      <c r="F67" s="29">
        <f>SUM(AA65:AA66)</f>
        <v>1.4999999999999998E-2</v>
      </c>
      <c r="G67" s="29"/>
      <c r="H67" s="29"/>
      <c r="I67" s="29"/>
      <c r="J67" s="29"/>
      <c r="K67" s="29">
        <f>TRUNC(ROUNDDOWN(F67,공량설정_일위대가!C38+1)*공량설정_일위대가!B37/100, 공량설정_일위대가!C38)</f>
        <v>1.4999999999999999E-2</v>
      </c>
      <c r="L67" s="30" t="s">
        <v>51</v>
      </c>
      <c r="M67" s="29"/>
      <c r="N67" s="29"/>
      <c r="O67" s="29" t="s">
        <v>761</v>
      </c>
      <c r="P67" s="30" t="s">
        <v>51</v>
      </c>
      <c r="Q67" s="1" t="s">
        <v>150</v>
      </c>
      <c r="R67" s="1" t="s">
        <v>51</v>
      </c>
      <c r="T67" s="1" t="s">
        <v>470</v>
      </c>
    </row>
    <row r="68" spans="1:28" ht="30" customHeight="1" x14ac:dyDescent="0.3">
      <c r="A68" s="29"/>
      <c r="B68" s="39" t="s">
        <v>870</v>
      </c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</row>
    <row r="69" spans="1:28" ht="30" customHeight="1" x14ac:dyDescent="0.3">
      <c r="A69" s="30" t="s">
        <v>473</v>
      </c>
      <c r="B69" s="30" t="s">
        <v>392</v>
      </c>
      <c r="C69" s="30" t="s">
        <v>472</v>
      </c>
      <c r="D69" s="30" t="s">
        <v>66</v>
      </c>
      <c r="E69" s="30" t="s">
        <v>849</v>
      </c>
      <c r="F69" s="29">
        <v>1</v>
      </c>
      <c r="G69" s="29">
        <v>0</v>
      </c>
      <c r="H69" s="29">
        <v>-15</v>
      </c>
      <c r="I69" s="29"/>
      <c r="J69" s="29"/>
      <c r="K69" s="29">
        <v>1</v>
      </c>
      <c r="L69" s="30" t="s">
        <v>397</v>
      </c>
      <c r="M69" s="29">
        <f>0.015*(H69+100)/100*(I69+100)/100*(J69+100)/100</f>
        <v>1.2749999999999999E-2</v>
      </c>
      <c r="N69" s="29">
        <f>F69*M69</f>
        <v>1.2749999999999999E-2</v>
      </c>
      <c r="O69" s="30" t="s">
        <v>761</v>
      </c>
      <c r="P69" s="30" t="s">
        <v>871</v>
      </c>
      <c r="Q69" s="1" t="s">
        <v>154</v>
      </c>
      <c r="R69" s="1" t="s">
        <v>398</v>
      </c>
      <c r="S69">
        <v>1.4999999999999999E-2</v>
      </c>
      <c r="T69" s="1" t="s">
        <v>474</v>
      </c>
      <c r="AA69">
        <f>N69</f>
        <v>1.2749999999999999E-2</v>
      </c>
    </row>
    <row r="70" spans="1:28" ht="30" customHeight="1" x14ac:dyDescent="0.3">
      <c r="A70" s="30" t="s">
        <v>473</v>
      </c>
      <c r="B70" s="30" t="s">
        <v>392</v>
      </c>
      <c r="C70" s="30" t="s">
        <v>472</v>
      </c>
      <c r="D70" s="30" t="s">
        <v>66</v>
      </c>
      <c r="E70" s="30" t="s">
        <v>849</v>
      </c>
      <c r="F70" s="29">
        <v>0.1</v>
      </c>
      <c r="G70" s="29">
        <v>0</v>
      </c>
      <c r="H70" s="29"/>
      <c r="I70" s="29"/>
      <c r="J70" s="29"/>
      <c r="K70" s="29">
        <v>0.1</v>
      </c>
      <c r="L70" s="30" t="s">
        <v>397</v>
      </c>
      <c r="M70" s="29">
        <f>0.015*(H70+100)/100*(I70+100)/100*(J70+100)/100</f>
        <v>1.4999999999999999E-2</v>
      </c>
      <c r="N70" s="29">
        <f>F70*M70</f>
        <v>1.5E-3</v>
      </c>
      <c r="O70" s="30" t="s">
        <v>761</v>
      </c>
      <c r="P70" s="30" t="s">
        <v>851</v>
      </c>
      <c r="Q70" s="1" t="s">
        <v>154</v>
      </c>
      <c r="R70" s="1" t="s">
        <v>398</v>
      </c>
      <c r="S70">
        <v>1.4999999999999999E-2</v>
      </c>
      <c r="T70" s="1" t="s">
        <v>474</v>
      </c>
      <c r="AA70">
        <f>N70</f>
        <v>1.5E-3</v>
      </c>
    </row>
    <row r="71" spans="1:28" ht="30" customHeight="1" x14ac:dyDescent="0.3">
      <c r="A71" s="30" t="s">
        <v>398</v>
      </c>
      <c r="B71" s="30" t="s">
        <v>397</v>
      </c>
      <c r="C71" s="30" t="s">
        <v>296</v>
      </c>
      <c r="D71" s="30" t="s">
        <v>297</v>
      </c>
      <c r="E71" s="30" t="s">
        <v>51</v>
      </c>
      <c r="F71" s="29">
        <f>SUM(AA69:AA70)</f>
        <v>1.4249999999999999E-2</v>
      </c>
      <c r="G71" s="29"/>
      <c r="H71" s="29"/>
      <c r="I71" s="29"/>
      <c r="J71" s="29"/>
      <c r="K71" s="29">
        <f>TRUNC(ROUNDDOWN(F71,공량설정_일위대가!C40+1)*공량설정_일위대가!B39/100, 공량설정_일위대가!C40)</f>
        <v>1.4200000000000001E-2</v>
      </c>
      <c r="L71" s="30" t="s">
        <v>51</v>
      </c>
      <c r="M71" s="29"/>
      <c r="N71" s="29"/>
      <c r="O71" s="29" t="s">
        <v>761</v>
      </c>
      <c r="P71" s="30" t="s">
        <v>51</v>
      </c>
      <c r="Q71" s="1" t="s">
        <v>154</v>
      </c>
      <c r="R71" s="1" t="s">
        <v>51</v>
      </c>
      <c r="T71" s="1" t="s">
        <v>476</v>
      </c>
    </row>
    <row r="72" spans="1:28" ht="30" customHeight="1" x14ac:dyDescent="0.3">
      <c r="A72" s="29"/>
      <c r="B72" s="39" t="s">
        <v>872</v>
      </c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</row>
    <row r="73" spans="1:28" ht="30" customHeight="1" x14ac:dyDescent="0.3">
      <c r="A73" s="30" t="s">
        <v>479</v>
      </c>
      <c r="B73" s="30" t="s">
        <v>111</v>
      </c>
      <c r="C73" s="30" t="s">
        <v>478</v>
      </c>
      <c r="D73" s="30" t="s">
        <v>66</v>
      </c>
      <c r="E73" s="30" t="s">
        <v>853</v>
      </c>
      <c r="F73" s="29">
        <v>1</v>
      </c>
      <c r="G73" s="29">
        <v>0</v>
      </c>
      <c r="H73" s="29"/>
      <c r="I73" s="29"/>
      <c r="J73" s="29"/>
      <c r="K73" s="29">
        <v>1</v>
      </c>
      <c r="L73" s="30" t="s">
        <v>405</v>
      </c>
      <c r="M73" s="29">
        <f>0.0053*(H73+100)/100*(I73+100)/100*(J73+100)/100</f>
        <v>5.3E-3</v>
      </c>
      <c r="N73" s="29">
        <f>F73*M73</f>
        <v>5.3E-3</v>
      </c>
      <c r="O73" s="30" t="s">
        <v>754</v>
      </c>
      <c r="P73" s="30" t="s">
        <v>854</v>
      </c>
      <c r="Q73" s="1" t="s">
        <v>158</v>
      </c>
      <c r="R73" s="1" t="s">
        <v>406</v>
      </c>
      <c r="S73">
        <v>5.3E-3</v>
      </c>
      <c r="T73" s="1" t="s">
        <v>480</v>
      </c>
      <c r="V73">
        <f>N73</f>
        <v>5.3E-3</v>
      </c>
    </row>
    <row r="74" spans="1:28" ht="30" customHeight="1" x14ac:dyDescent="0.3">
      <c r="A74" s="30" t="s">
        <v>51</v>
      </c>
      <c r="B74" s="30" t="s">
        <v>51</v>
      </c>
      <c r="C74" s="30" t="s">
        <v>51</v>
      </c>
      <c r="D74" s="30" t="s">
        <v>51</v>
      </c>
      <c r="E74" s="30" t="s">
        <v>51</v>
      </c>
      <c r="F74" s="29"/>
      <c r="G74" s="29"/>
      <c r="H74" s="29"/>
      <c r="I74" s="29"/>
      <c r="J74" s="29"/>
      <c r="K74" s="29"/>
      <c r="L74" s="30" t="s">
        <v>408</v>
      </c>
      <c r="M74" s="29">
        <f>0.0048*(H73+100)/100*(I73+100)/100*(J73+100)/100</f>
        <v>4.7999999999999996E-3</v>
      </c>
      <c r="N74" s="29">
        <f>F73*M74</f>
        <v>4.7999999999999996E-3</v>
      </c>
      <c r="O74" s="30" t="s">
        <v>760</v>
      </c>
      <c r="P74" s="30" t="s">
        <v>855</v>
      </c>
      <c r="Q74" s="1" t="s">
        <v>158</v>
      </c>
      <c r="R74" s="1" t="s">
        <v>409</v>
      </c>
      <c r="S74">
        <v>4.7999999999999996E-3</v>
      </c>
      <c r="T74" s="1" t="s">
        <v>480</v>
      </c>
      <c r="AB74">
        <f>N74</f>
        <v>4.7999999999999996E-3</v>
      </c>
    </row>
    <row r="75" spans="1:28" ht="30" customHeight="1" x14ac:dyDescent="0.3">
      <c r="A75" s="30" t="s">
        <v>479</v>
      </c>
      <c r="B75" s="30" t="s">
        <v>111</v>
      </c>
      <c r="C75" s="30" t="s">
        <v>478</v>
      </c>
      <c r="D75" s="30" t="s">
        <v>66</v>
      </c>
      <c r="E75" s="30" t="s">
        <v>853</v>
      </c>
      <c r="F75" s="29">
        <v>0.1</v>
      </c>
      <c r="G75" s="29">
        <v>0</v>
      </c>
      <c r="H75" s="29"/>
      <c r="I75" s="29"/>
      <c r="J75" s="29"/>
      <c r="K75" s="29">
        <v>0.1</v>
      </c>
      <c r="L75" s="30" t="s">
        <v>405</v>
      </c>
      <c r="M75" s="29">
        <f>0.0053*(H75+100)/100*(I75+100)/100*(J75+100)/100</f>
        <v>5.3E-3</v>
      </c>
      <c r="N75" s="29">
        <f>F75*M75</f>
        <v>5.2999999999999998E-4</v>
      </c>
      <c r="O75" s="30" t="s">
        <v>754</v>
      </c>
      <c r="P75" s="30" t="s">
        <v>854</v>
      </c>
      <c r="Q75" s="1" t="s">
        <v>158</v>
      </c>
      <c r="R75" s="1" t="s">
        <v>406</v>
      </c>
      <c r="S75">
        <v>5.3E-3</v>
      </c>
      <c r="T75" s="1" t="s">
        <v>480</v>
      </c>
      <c r="V75">
        <f>N75</f>
        <v>5.2999999999999998E-4</v>
      </c>
    </row>
    <row r="76" spans="1:28" ht="30" customHeight="1" x14ac:dyDescent="0.3">
      <c r="A76" s="30" t="s">
        <v>51</v>
      </c>
      <c r="B76" s="30" t="s">
        <v>51</v>
      </c>
      <c r="C76" s="30" t="s">
        <v>51</v>
      </c>
      <c r="D76" s="30" t="s">
        <v>51</v>
      </c>
      <c r="E76" s="30" t="s">
        <v>51</v>
      </c>
      <c r="F76" s="29"/>
      <c r="G76" s="29"/>
      <c r="H76" s="29"/>
      <c r="I76" s="29"/>
      <c r="J76" s="29"/>
      <c r="K76" s="29"/>
      <c r="L76" s="30" t="s">
        <v>408</v>
      </c>
      <c r="M76" s="29">
        <f>0.0048*(H75+100)/100*(I75+100)/100*(J75+100)/100</f>
        <v>4.7999999999999996E-3</v>
      </c>
      <c r="N76" s="29">
        <f>F75*M76</f>
        <v>4.7999999999999996E-4</v>
      </c>
      <c r="O76" s="30" t="s">
        <v>760</v>
      </c>
      <c r="P76" s="30" t="s">
        <v>855</v>
      </c>
      <c r="Q76" s="1" t="s">
        <v>158</v>
      </c>
      <c r="R76" s="1" t="s">
        <v>409</v>
      </c>
      <c r="S76">
        <v>4.7999999999999996E-3</v>
      </c>
      <c r="T76" s="1" t="s">
        <v>480</v>
      </c>
      <c r="AB76">
        <f>N76</f>
        <v>4.7999999999999996E-4</v>
      </c>
    </row>
    <row r="77" spans="1:28" ht="30" customHeight="1" x14ac:dyDescent="0.3">
      <c r="A77" s="30" t="s">
        <v>406</v>
      </c>
      <c r="B77" s="30" t="s">
        <v>405</v>
      </c>
      <c r="C77" s="30" t="s">
        <v>296</v>
      </c>
      <c r="D77" s="30" t="s">
        <v>297</v>
      </c>
      <c r="E77" s="30" t="s">
        <v>51</v>
      </c>
      <c r="F77" s="29">
        <f>SUM(V73:V76)</f>
        <v>5.8300000000000001E-3</v>
      </c>
      <c r="G77" s="29"/>
      <c r="H77" s="29"/>
      <c r="I77" s="29"/>
      <c r="J77" s="29"/>
      <c r="K77" s="29">
        <f>TRUNC(ROUNDDOWN(F77,공량설정_일위대가!C42+1)*공량설정_일위대가!B41/100, 공량설정_일위대가!C42)</f>
        <v>5.7999999999999996E-3</v>
      </c>
      <c r="L77" s="30" t="s">
        <v>51</v>
      </c>
      <c r="M77" s="29"/>
      <c r="N77" s="29"/>
      <c r="O77" s="29" t="s">
        <v>754</v>
      </c>
      <c r="P77" s="30" t="s">
        <v>51</v>
      </c>
      <c r="Q77" s="1" t="s">
        <v>158</v>
      </c>
      <c r="R77" s="1" t="s">
        <v>51</v>
      </c>
      <c r="T77" s="1" t="s">
        <v>482</v>
      </c>
    </row>
    <row r="78" spans="1:28" ht="30" customHeight="1" x14ac:dyDescent="0.3">
      <c r="A78" s="30" t="s">
        <v>409</v>
      </c>
      <c r="B78" s="30" t="s">
        <v>408</v>
      </c>
      <c r="C78" s="30" t="s">
        <v>296</v>
      </c>
      <c r="D78" s="30" t="s">
        <v>297</v>
      </c>
      <c r="E78" s="30" t="s">
        <v>51</v>
      </c>
      <c r="F78" s="29">
        <f>SUM(AB73:AB76)</f>
        <v>5.28E-3</v>
      </c>
      <c r="G78" s="29"/>
      <c r="H78" s="29"/>
      <c r="I78" s="29"/>
      <c r="J78" s="29"/>
      <c r="K78" s="29">
        <f>TRUNC(ROUNDDOWN(F78,공량설정_일위대가!C43+1)*공량설정_일위대가!B41/100, 공량설정_일위대가!C43)</f>
        <v>5.1999999999999998E-3</v>
      </c>
      <c r="L78" s="30" t="s">
        <v>51</v>
      </c>
      <c r="M78" s="29"/>
      <c r="N78" s="29"/>
      <c r="O78" s="29" t="s">
        <v>760</v>
      </c>
      <c r="P78" s="30" t="s">
        <v>51</v>
      </c>
      <c r="Q78" s="1" t="s">
        <v>158</v>
      </c>
      <c r="R78" s="1" t="s">
        <v>51</v>
      </c>
      <c r="T78" s="1" t="s">
        <v>483</v>
      </c>
    </row>
    <row r="79" spans="1:28" ht="30" customHeight="1" x14ac:dyDescent="0.3">
      <c r="A79" s="29"/>
      <c r="B79" s="39" t="s">
        <v>873</v>
      </c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</row>
    <row r="80" spans="1:28" ht="30" customHeight="1" x14ac:dyDescent="0.3">
      <c r="A80" s="30" t="s">
        <v>487</v>
      </c>
      <c r="B80" s="30" t="s">
        <v>160</v>
      </c>
      <c r="C80" s="30" t="s">
        <v>486</v>
      </c>
      <c r="D80" s="30" t="s">
        <v>72</v>
      </c>
      <c r="E80" s="30" t="s">
        <v>874</v>
      </c>
      <c r="F80" s="29">
        <v>1</v>
      </c>
      <c r="G80" s="29">
        <v>0</v>
      </c>
      <c r="H80" s="29">
        <v>20</v>
      </c>
      <c r="I80" s="29"/>
      <c r="J80" s="29"/>
      <c r="K80" s="29">
        <v>1</v>
      </c>
      <c r="L80" s="30" t="s">
        <v>295</v>
      </c>
      <c r="M80" s="29">
        <f>0.028*(H80+100)/100*(I80+100)/100*(J80+100)/100</f>
        <v>3.3599999999999998E-2</v>
      </c>
      <c r="N80" s="29">
        <f>F80*M80</f>
        <v>3.3599999999999998E-2</v>
      </c>
      <c r="O80" s="30" t="s">
        <v>759</v>
      </c>
      <c r="P80" s="30" t="s">
        <v>875</v>
      </c>
      <c r="Q80" s="1" t="s">
        <v>163</v>
      </c>
      <c r="R80" s="1" t="s">
        <v>298</v>
      </c>
      <c r="S80">
        <v>2.8000000000000001E-2</v>
      </c>
      <c r="T80" s="1" t="s">
        <v>488</v>
      </c>
      <c r="Z80">
        <f>N80</f>
        <v>3.3599999999999998E-2</v>
      </c>
    </row>
    <row r="81" spans="1:27" ht="30" customHeight="1" x14ac:dyDescent="0.3">
      <c r="A81" s="30" t="s">
        <v>298</v>
      </c>
      <c r="B81" s="30" t="s">
        <v>295</v>
      </c>
      <c r="C81" s="30" t="s">
        <v>296</v>
      </c>
      <c r="D81" s="30" t="s">
        <v>297</v>
      </c>
      <c r="E81" s="30" t="s">
        <v>51</v>
      </c>
      <c r="F81" s="29">
        <f>SUM(Z80:Z80)</f>
        <v>3.3599999999999998E-2</v>
      </c>
      <c r="G81" s="29"/>
      <c r="H81" s="29"/>
      <c r="I81" s="29"/>
      <c r="J81" s="29"/>
      <c r="K81" s="29">
        <f>TRUNC(ROUNDDOWN(F81,공량설정_일위대가!C45+1)*공량설정_일위대가!B44/100, 공량설정_일위대가!C45)</f>
        <v>3.3599999999999998E-2</v>
      </c>
      <c r="L81" s="30" t="s">
        <v>51</v>
      </c>
      <c r="M81" s="29"/>
      <c r="N81" s="29"/>
      <c r="O81" s="29" t="s">
        <v>759</v>
      </c>
      <c r="P81" s="30" t="s">
        <v>51</v>
      </c>
      <c r="Q81" s="1" t="s">
        <v>163</v>
      </c>
      <c r="R81" s="1" t="s">
        <v>51</v>
      </c>
      <c r="T81" s="1" t="s">
        <v>489</v>
      </c>
    </row>
    <row r="82" spans="1:27" ht="30" customHeight="1" x14ac:dyDescent="0.3">
      <c r="A82" s="29"/>
      <c r="B82" s="39" t="s">
        <v>876</v>
      </c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</row>
    <row r="83" spans="1:27" ht="30" customHeight="1" x14ac:dyDescent="0.3">
      <c r="A83" s="30" t="s">
        <v>424</v>
      </c>
      <c r="B83" s="30" t="s">
        <v>413</v>
      </c>
      <c r="C83" s="30" t="s">
        <v>423</v>
      </c>
      <c r="D83" s="30" t="s">
        <v>66</v>
      </c>
      <c r="E83" s="30" t="s">
        <v>835</v>
      </c>
      <c r="F83" s="29">
        <v>1</v>
      </c>
      <c r="G83" s="29">
        <v>0</v>
      </c>
      <c r="H83" s="29">
        <v>-20</v>
      </c>
      <c r="I83" s="29">
        <v>20</v>
      </c>
      <c r="J83" s="29">
        <v>0</v>
      </c>
      <c r="K83" s="29">
        <v>1</v>
      </c>
      <c r="L83" s="30" t="s">
        <v>295</v>
      </c>
      <c r="M83" s="29">
        <f>0.06*(H83+100)/100*(I83+100)/100*(J83+100)/100</f>
        <v>5.7599999999999998E-2</v>
      </c>
      <c r="N83" s="29">
        <f>F83*M83</f>
        <v>5.7599999999999998E-2</v>
      </c>
      <c r="O83" s="30" t="s">
        <v>759</v>
      </c>
      <c r="P83" s="30" t="s">
        <v>877</v>
      </c>
      <c r="Q83" s="1" t="s">
        <v>166</v>
      </c>
      <c r="R83" s="1" t="s">
        <v>298</v>
      </c>
      <c r="S83">
        <v>0.06</v>
      </c>
      <c r="T83" s="1" t="s">
        <v>491</v>
      </c>
      <c r="Z83">
        <f>N83</f>
        <v>5.7599999999999998E-2</v>
      </c>
    </row>
    <row r="84" spans="1:27" ht="30" customHeight="1" x14ac:dyDescent="0.3">
      <c r="A84" s="30" t="s">
        <v>298</v>
      </c>
      <c r="B84" s="30" t="s">
        <v>295</v>
      </c>
      <c r="C84" s="30" t="s">
        <v>296</v>
      </c>
      <c r="D84" s="30" t="s">
        <v>297</v>
      </c>
      <c r="E84" s="30" t="s">
        <v>51</v>
      </c>
      <c r="F84" s="29">
        <f>SUM(Z83:Z83)</f>
        <v>5.7599999999999998E-2</v>
      </c>
      <c r="G84" s="29"/>
      <c r="H84" s="29"/>
      <c r="I84" s="29"/>
      <c r="J84" s="29"/>
      <c r="K84" s="29">
        <f>TRUNC(ROUNDDOWN(F84,공량설정_일위대가!C47+1)*공량설정_일위대가!B46/100, 공량설정_일위대가!C47)</f>
        <v>5.7599999999999998E-2</v>
      </c>
      <c r="L84" s="30" t="s">
        <v>51</v>
      </c>
      <c r="M84" s="29"/>
      <c r="N84" s="29"/>
      <c r="O84" s="29" t="s">
        <v>759</v>
      </c>
      <c r="P84" s="30" t="s">
        <v>51</v>
      </c>
      <c r="Q84" s="1" t="s">
        <v>166</v>
      </c>
      <c r="R84" s="1" t="s">
        <v>51</v>
      </c>
      <c r="T84" s="1" t="s">
        <v>496</v>
      </c>
    </row>
    <row r="85" spans="1:27" ht="30" customHeight="1" x14ac:dyDescent="0.3">
      <c r="A85" s="29"/>
      <c r="B85" s="39" t="s">
        <v>878</v>
      </c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</row>
    <row r="86" spans="1:27" ht="30" customHeight="1" x14ac:dyDescent="0.3">
      <c r="A86" s="30" t="s">
        <v>500</v>
      </c>
      <c r="B86" s="30" t="s">
        <v>168</v>
      </c>
      <c r="C86" s="30" t="s">
        <v>499</v>
      </c>
      <c r="D86" s="30" t="s">
        <v>66</v>
      </c>
      <c r="E86" s="30" t="s">
        <v>879</v>
      </c>
      <c r="F86" s="29">
        <v>1</v>
      </c>
      <c r="G86" s="29">
        <v>5</v>
      </c>
      <c r="H86" s="29"/>
      <c r="I86" s="29"/>
      <c r="J86" s="29"/>
      <c r="K86" s="29">
        <v>1</v>
      </c>
      <c r="L86" s="30" t="s">
        <v>397</v>
      </c>
      <c r="M86" s="29">
        <f>0.017*(H86+100)/100*(I86+100)/100*(J86+100)/100</f>
        <v>1.7000000000000001E-2</v>
      </c>
      <c r="N86" s="29">
        <f>F86*M86</f>
        <v>1.7000000000000001E-2</v>
      </c>
      <c r="O86" s="30" t="s">
        <v>761</v>
      </c>
      <c r="P86" s="30" t="s">
        <v>880</v>
      </c>
      <c r="Q86" s="1" t="s">
        <v>171</v>
      </c>
      <c r="R86" s="1" t="s">
        <v>398</v>
      </c>
      <c r="S86">
        <v>1.7000000000000001E-2</v>
      </c>
      <c r="T86" s="1" t="s">
        <v>501</v>
      </c>
      <c r="AA86">
        <f>N86</f>
        <v>1.7000000000000001E-2</v>
      </c>
    </row>
    <row r="87" spans="1:27" ht="30" customHeight="1" x14ac:dyDescent="0.3">
      <c r="A87" s="30" t="s">
        <v>500</v>
      </c>
      <c r="B87" s="30" t="s">
        <v>168</v>
      </c>
      <c r="C87" s="30" t="s">
        <v>499</v>
      </c>
      <c r="D87" s="30" t="s">
        <v>66</v>
      </c>
      <c r="E87" s="30" t="s">
        <v>879</v>
      </c>
      <c r="F87" s="29">
        <v>0</v>
      </c>
      <c r="G87" s="29"/>
      <c r="H87" s="29">
        <v>0</v>
      </c>
      <c r="I87" s="29"/>
      <c r="J87" s="29"/>
      <c r="K87" s="29">
        <v>0.05</v>
      </c>
      <c r="L87" s="30" t="s">
        <v>397</v>
      </c>
      <c r="M87" s="29">
        <f>0.017*(H87+100)/100*(I87+100)/100*(J87+100)/100</f>
        <v>1.7000000000000001E-2</v>
      </c>
      <c r="N87" s="29">
        <f>F87*M87</f>
        <v>0</v>
      </c>
      <c r="O87" s="30" t="s">
        <v>761</v>
      </c>
      <c r="P87" s="30" t="s">
        <v>880</v>
      </c>
      <c r="Q87" s="1" t="s">
        <v>171</v>
      </c>
      <c r="R87" s="1" t="s">
        <v>398</v>
      </c>
      <c r="S87">
        <v>1.7000000000000001E-2</v>
      </c>
      <c r="T87" s="1" t="s">
        <v>501</v>
      </c>
      <c r="AA87">
        <f>N87</f>
        <v>0</v>
      </c>
    </row>
    <row r="88" spans="1:27" ht="30" customHeight="1" x14ac:dyDescent="0.3">
      <c r="A88" s="30" t="s">
        <v>398</v>
      </c>
      <c r="B88" s="30" t="s">
        <v>397</v>
      </c>
      <c r="C88" s="30" t="s">
        <v>296</v>
      </c>
      <c r="D88" s="30" t="s">
        <v>297</v>
      </c>
      <c r="E88" s="30" t="s">
        <v>51</v>
      </c>
      <c r="F88" s="29">
        <f>SUM(AA86:AA87)</f>
        <v>1.7000000000000001E-2</v>
      </c>
      <c r="G88" s="29"/>
      <c r="H88" s="29"/>
      <c r="I88" s="29"/>
      <c r="J88" s="29"/>
      <c r="K88" s="29">
        <f>TRUNC(ROUNDDOWN(F88,공량설정_일위대가!C49+1)*공량설정_일위대가!B48/100, 공량설정_일위대가!C49)</f>
        <v>1.7000000000000001E-2</v>
      </c>
      <c r="L88" s="30" t="s">
        <v>51</v>
      </c>
      <c r="M88" s="29"/>
      <c r="N88" s="29"/>
      <c r="O88" s="29" t="s">
        <v>761</v>
      </c>
      <c r="P88" s="30" t="s">
        <v>51</v>
      </c>
      <c r="Q88" s="1" t="s">
        <v>171</v>
      </c>
      <c r="R88" s="1" t="s">
        <v>51</v>
      </c>
      <c r="T88" s="1" t="s">
        <v>503</v>
      </c>
    </row>
    <row r="89" spans="1:27" ht="30" customHeight="1" x14ac:dyDescent="0.3">
      <c r="A89" s="29"/>
      <c r="B89" s="39" t="s">
        <v>881</v>
      </c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</row>
    <row r="90" spans="1:27" ht="30" customHeight="1" x14ac:dyDescent="0.3">
      <c r="A90" s="30" t="s">
        <v>507</v>
      </c>
      <c r="B90" s="30" t="s">
        <v>176</v>
      </c>
      <c r="C90" s="30" t="s">
        <v>506</v>
      </c>
      <c r="D90" s="30" t="s">
        <v>66</v>
      </c>
      <c r="E90" s="30" t="s">
        <v>879</v>
      </c>
      <c r="F90" s="29">
        <v>1</v>
      </c>
      <c r="G90" s="29">
        <v>0</v>
      </c>
      <c r="H90" s="29"/>
      <c r="I90" s="29"/>
      <c r="J90" s="29"/>
      <c r="K90" s="29">
        <v>1</v>
      </c>
      <c r="L90" s="30" t="s">
        <v>397</v>
      </c>
      <c r="M90" s="29">
        <f>0.019*(H90+100)/100*(I90+100)/100*(J90+100)/100</f>
        <v>1.9E-2</v>
      </c>
      <c r="N90" s="29">
        <f>F90*M90</f>
        <v>1.9E-2</v>
      </c>
      <c r="O90" s="30" t="s">
        <v>761</v>
      </c>
      <c r="P90" s="30" t="s">
        <v>882</v>
      </c>
      <c r="Q90" s="1" t="s">
        <v>179</v>
      </c>
      <c r="R90" s="1" t="s">
        <v>398</v>
      </c>
      <c r="S90">
        <v>1.9E-2</v>
      </c>
      <c r="T90" s="1" t="s">
        <v>508</v>
      </c>
      <c r="AA90">
        <f>N90</f>
        <v>1.9E-2</v>
      </c>
    </row>
    <row r="91" spans="1:27" ht="30" customHeight="1" x14ac:dyDescent="0.3">
      <c r="A91" s="30" t="s">
        <v>398</v>
      </c>
      <c r="B91" s="30" t="s">
        <v>397</v>
      </c>
      <c r="C91" s="30" t="s">
        <v>296</v>
      </c>
      <c r="D91" s="30" t="s">
        <v>297</v>
      </c>
      <c r="E91" s="30" t="s">
        <v>51</v>
      </c>
      <c r="F91" s="29">
        <f>SUM(AA90:AA90)</f>
        <v>1.9E-2</v>
      </c>
      <c r="G91" s="29"/>
      <c r="H91" s="29"/>
      <c r="I91" s="29"/>
      <c r="J91" s="29"/>
      <c r="K91" s="29">
        <f>TRUNC(ROUNDDOWN(F91,공량설정_일위대가!C51+1)*공량설정_일위대가!B50/100, 공량설정_일위대가!C51)</f>
        <v>1.9E-2</v>
      </c>
      <c r="L91" s="30" t="s">
        <v>51</v>
      </c>
      <c r="M91" s="29"/>
      <c r="N91" s="29"/>
      <c r="O91" s="29" t="s">
        <v>761</v>
      </c>
      <c r="P91" s="30" t="s">
        <v>51</v>
      </c>
      <c r="Q91" s="1" t="s">
        <v>179</v>
      </c>
      <c r="R91" s="1" t="s">
        <v>51</v>
      </c>
      <c r="T91" s="1" t="s">
        <v>510</v>
      </c>
    </row>
    <row r="92" spans="1:27" ht="30" customHeight="1" x14ac:dyDescent="0.3">
      <c r="A92" s="29"/>
      <c r="B92" s="39" t="s">
        <v>883</v>
      </c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</row>
    <row r="93" spans="1:27" ht="30" customHeight="1" x14ac:dyDescent="0.3">
      <c r="A93" s="30" t="s">
        <v>513</v>
      </c>
      <c r="B93" s="30" t="s">
        <v>182</v>
      </c>
      <c r="C93" s="30" t="s">
        <v>182</v>
      </c>
      <c r="D93" s="30" t="s">
        <v>66</v>
      </c>
      <c r="E93" s="30" t="s">
        <v>884</v>
      </c>
      <c r="F93" s="29">
        <v>1</v>
      </c>
      <c r="G93" s="29">
        <v>0</v>
      </c>
      <c r="H93" s="29"/>
      <c r="I93" s="29"/>
      <c r="J93" s="29"/>
      <c r="K93" s="29">
        <v>1</v>
      </c>
      <c r="L93" s="30" t="s">
        <v>397</v>
      </c>
      <c r="M93" s="29">
        <f>0.016*(H93+100)/100*(I93+100)/100*(J93+100)/100</f>
        <v>1.6E-2</v>
      </c>
      <c r="N93" s="29">
        <f>F93*M93</f>
        <v>1.6E-2</v>
      </c>
      <c r="O93" s="30" t="s">
        <v>761</v>
      </c>
      <c r="P93" s="30" t="s">
        <v>885</v>
      </c>
      <c r="Q93" s="1" t="s">
        <v>184</v>
      </c>
      <c r="R93" s="1" t="s">
        <v>398</v>
      </c>
      <c r="S93">
        <v>1.6E-2</v>
      </c>
      <c r="T93" s="1" t="s">
        <v>514</v>
      </c>
      <c r="AA93">
        <f>N93</f>
        <v>1.6E-2</v>
      </c>
    </row>
    <row r="94" spans="1:27" ht="30" customHeight="1" x14ac:dyDescent="0.3">
      <c r="A94" s="30" t="s">
        <v>513</v>
      </c>
      <c r="B94" s="30" t="s">
        <v>182</v>
      </c>
      <c r="C94" s="30" t="s">
        <v>182</v>
      </c>
      <c r="D94" s="30" t="s">
        <v>66</v>
      </c>
      <c r="E94" s="30" t="s">
        <v>884</v>
      </c>
      <c r="F94" s="29">
        <v>0</v>
      </c>
      <c r="G94" s="29">
        <v>0</v>
      </c>
      <c r="H94" s="29"/>
      <c r="I94" s="29"/>
      <c r="J94" s="29"/>
      <c r="K94" s="29">
        <v>7.4999999999999997E-2</v>
      </c>
      <c r="L94" s="30" t="s">
        <v>397</v>
      </c>
      <c r="M94" s="29">
        <f>0.016*(H94+100)/100*(I94+100)/100*(J94+100)/100</f>
        <v>1.6E-2</v>
      </c>
      <c r="N94" s="29">
        <f>F94*M94</f>
        <v>0</v>
      </c>
      <c r="O94" s="30" t="s">
        <v>761</v>
      </c>
      <c r="P94" s="30" t="s">
        <v>885</v>
      </c>
      <c r="Q94" s="1" t="s">
        <v>184</v>
      </c>
      <c r="R94" s="1" t="s">
        <v>398</v>
      </c>
      <c r="S94">
        <v>1.6E-2</v>
      </c>
      <c r="T94" s="1" t="s">
        <v>514</v>
      </c>
      <c r="AA94">
        <f>N94</f>
        <v>0</v>
      </c>
    </row>
    <row r="95" spans="1:27" ht="30" customHeight="1" x14ac:dyDescent="0.3">
      <c r="A95" s="30" t="s">
        <v>398</v>
      </c>
      <c r="B95" s="30" t="s">
        <v>397</v>
      </c>
      <c r="C95" s="30" t="s">
        <v>296</v>
      </c>
      <c r="D95" s="30" t="s">
        <v>297</v>
      </c>
      <c r="E95" s="30" t="s">
        <v>51</v>
      </c>
      <c r="F95" s="29">
        <f>SUM(AA93:AA94)</f>
        <v>1.6E-2</v>
      </c>
      <c r="G95" s="29"/>
      <c r="H95" s="29"/>
      <c r="I95" s="29"/>
      <c r="J95" s="29"/>
      <c r="K95" s="29">
        <f>TRUNC(ROUNDDOWN(F95,공량설정_일위대가!C53+1)*공량설정_일위대가!B52/100, 공량설정_일위대가!C53)</f>
        <v>1.6E-2</v>
      </c>
      <c r="L95" s="30" t="s">
        <v>51</v>
      </c>
      <c r="M95" s="29"/>
      <c r="N95" s="29"/>
      <c r="O95" s="29" t="s">
        <v>761</v>
      </c>
      <c r="P95" s="30" t="s">
        <v>51</v>
      </c>
      <c r="Q95" s="1" t="s">
        <v>184</v>
      </c>
      <c r="R95" s="1" t="s">
        <v>51</v>
      </c>
      <c r="T95" s="1" t="s">
        <v>516</v>
      </c>
    </row>
    <row r="96" spans="1:27" ht="30" customHeight="1" x14ac:dyDescent="0.3">
      <c r="A96" s="29"/>
      <c r="B96" s="39" t="s">
        <v>886</v>
      </c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</row>
    <row r="97" spans="1:28" ht="30" customHeight="1" x14ac:dyDescent="0.3">
      <c r="A97" s="30" t="s">
        <v>521</v>
      </c>
      <c r="B97" s="30" t="s">
        <v>519</v>
      </c>
      <c r="C97" s="30" t="s">
        <v>520</v>
      </c>
      <c r="D97" s="30" t="s">
        <v>66</v>
      </c>
      <c r="E97" s="30" t="s">
        <v>884</v>
      </c>
      <c r="F97" s="29">
        <v>1</v>
      </c>
      <c r="G97" s="29">
        <v>0</v>
      </c>
      <c r="H97" s="29"/>
      <c r="I97" s="29"/>
      <c r="J97" s="29"/>
      <c r="K97" s="29">
        <v>1</v>
      </c>
      <c r="L97" s="30" t="s">
        <v>397</v>
      </c>
      <c r="M97" s="29">
        <f>0.018*(H97+100)/100*(I97+100)/100*(J97+100)/100</f>
        <v>1.7999999999999999E-2</v>
      </c>
      <c r="N97" s="29">
        <f>F97*M97</f>
        <v>1.7999999999999999E-2</v>
      </c>
      <c r="O97" s="30" t="s">
        <v>761</v>
      </c>
      <c r="P97" s="30" t="s">
        <v>887</v>
      </c>
      <c r="Q97" s="1" t="s">
        <v>189</v>
      </c>
      <c r="R97" s="1" t="s">
        <v>398</v>
      </c>
      <c r="S97">
        <v>1.7999999999999999E-2</v>
      </c>
      <c r="T97" s="1" t="s">
        <v>522</v>
      </c>
      <c r="AA97">
        <f>N97</f>
        <v>1.7999999999999999E-2</v>
      </c>
    </row>
    <row r="98" spans="1:28" ht="30" customHeight="1" x14ac:dyDescent="0.3">
      <c r="A98" s="30" t="s">
        <v>521</v>
      </c>
      <c r="B98" s="30" t="s">
        <v>519</v>
      </c>
      <c r="C98" s="30" t="s">
        <v>520</v>
      </c>
      <c r="D98" s="30" t="s">
        <v>66</v>
      </c>
      <c r="E98" s="30" t="s">
        <v>884</v>
      </c>
      <c r="F98" s="29">
        <v>0</v>
      </c>
      <c r="G98" s="29">
        <v>0</v>
      </c>
      <c r="H98" s="29"/>
      <c r="I98" s="29"/>
      <c r="J98" s="29"/>
      <c r="K98" s="29">
        <v>7.4999999999999997E-2</v>
      </c>
      <c r="L98" s="30" t="s">
        <v>397</v>
      </c>
      <c r="M98" s="29">
        <f>0.018*(H98+100)/100*(I98+100)/100*(J98+100)/100</f>
        <v>1.7999999999999999E-2</v>
      </c>
      <c r="N98" s="29">
        <f>F98*M98</f>
        <v>0</v>
      </c>
      <c r="O98" s="30" t="s">
        <v>761</v>
      </c>
      <c r="P98" s="30" t="s">
        <v>887</v>
      </c>
      <c r="Q98" s="1" t="s">
        <v>189</v>
      </c>
      <c r="R98" s="1" t="s">
        <v>398</v>
      </c>
      <c r="S98">
        <v>1.7999999999999999E-2</v>
      </c>
      <c r="T98" s="1" t="s">
        <v>522</v>
      </c>
      <c r="AA98">
        <f>N98</f>
        <v>0</v>
      </c>
    </row>
    <row r="99" spans="1:28" ht="30" customHeight="1" x14ac:dyDescent="0.3">
      <c r="A99" s="30" t="s">
        <v>398</v>
      </c>
      <c r="B99" s="30" t="s">
        <v>397</v>
      </c>
      <c r="C99" s="30" t="s">
        <v>296</v>
      </c>
      <c r="D99" s="30" t="s">
        <v>297</v>
      </c>
      <c r="E99" s="30" t="s">
        <v>51</v>
      </c>
      <c r="F99" s="29">
        <f>SUM(AA97:AA98)</f>
        <v>1.7999999999999999E-2</v>
      </c>
      <c r="G99" s="29"/>
      <c r="H99" s="29"/>
      <c r="I99" s="29"/>
      <c r="J99" s="29"/>
      <c r="K99" s="29">
        <f>TRUNC(ROUNDDOWN(F99,공량설정_일위대가!C55+1)*공량설정_일위대가!B54/100, 공량설정_일위대가!C55)</f>
        <v>1.7999999999999999E-2</v>
      </c>
      <c r="L99" s="30" t="s">
        <v>51</v>
      </c>
      <c r="M99" s="29"/>
      <c r="N99" s="29"/>
      <c r="O99" s="29" t="s">
        <v>761</v>
      </c>
      <c r="P99" s="30" t="s">
        <v>51</v>
      </c>
      <c r="Q99" s="1" t="s">
        <v>189</v>
      </c>
      <c r="R99" s="1" t="s">
        <v>51</v>
      </c>
      <c r="T99" s="1" t="s">
        <v>524</v>
      </c>
    </row>
    <row r="100" spans="1:28" ht="30" customHeight="1" x14ac:dyDescent="0.3">
      <c r="A100" s="29"/>
      <c r="B100" s="39" t="s">
        <v>888</v>
      </c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</row>
    <row r="101" spans="1:28" ht="30" customHeight="1" x14ac:dyDescent="0.3">
      <c r="A101" s="30" t="s">
        <v>529</v>
      </c>
      <c r="B101" s="30" t="s">
        <v>527</v>
      </c>
      <c r="C101" s="30" t="s">
        <v>528</v>
      </c>
      <c r="D101" s="30" t="s">
        <v>66</v>
      </c>
      <c r="E101" s="30" t="s">
        <v>884</v>
      </c>
      <c r="F101" s="29">
        <v>1</v>
      </c>
      <c r="G101" s="29">
        <v>0</v>
      </c>
      <c r="H101" s="29"/>
      <c r="I101" s="29"/>
      <c r="J101" s="29"/>
      <c r="K101" s="29">
        <v>1</v>
      </c>
      <c r="L101" s="30" t="s">
        <v>397</v>
      </c>
      <c r="M101" s="29">
        <f>0.024*(H101+100)/100*(I101+100)/100*(J101+100)/100</f>
        <v>2.4E-2</v>
      </c>
      <c r="N101" s="29">
        <f>F101*M101</f>
        <v>2.4E-2</v>
      </c>
      <c r="O101" s="30" t="s">
        <v>761</v>
      </c>
      <c r="P101" s="30" t="s">
        <v>825</v>
      </c>
      <c r="Q101" s="1" t="s">
        <v>194</v>
      </c>
      <c r="R101" s="1" t="s">
        <v>398</v>
      </c>
      <c r="S101">
        <v>2.4E-2</v>
      </c>
      <c r="T101" s="1" t="s">
        <v>530</v>
      </c>
      <c r="AA101">
        <f>N101</f>
        <v>2.4E-2</v>
      </c>
    </row>
    <row r="102" spans="1:28" ht="30" customHeight="1" x14ac:dyDescent="0.3">
      <c r="A102" s="30" t="s">
        <v>529</v>
      </c>
      <c r="B102" s="30" t="s">
        <v>527</v>
      </c>
      <c r="C102" s="30" t="s">
        <v>528</v>
      </c>
      <c r="D102" s="30" t="s">
        <v>66</v>
      </c>
      <c r="E102" s="30" t="s">
        <v>884</v>
      </c>
      <c r="F102" s="29">
        <v>0</v>
      </c>
      <c r="G102" s="29">
        <v>0</v>
      </c>
      <c r="H102" s="29"/>
      <c r="I102" s="29"/>
      <c r="J102" s="29"/>
      <c r="K102" s="29">
        <v>7.4999999999999997E-2</v>
      </c>
      <c r="L102" s="30" t="s">
        <v>397</v>
      </c>
      <c r="M102" s="29">
        <f>0.024*(H102+100)/100*(I102+100)/100*(J102+100)/100</f>
        <v>2.4E-2</v>
      </c>
      <c r="N102" s="29">
        <f>F102*M102</f>
        <v>0</v>
      </c>
      <c r="O102" s="30" t="s">
        <v>761</v>
      </c>
      <c r="P102" s="30" t="s">
        <v>825</v>
      </c>
      <c r="Q102" s="1" t="s">
        <v>194</v>
      </c>
      <c r="R102" s="1" t="s">
        <v>398</v>
      </c>
      <c r="S102">
        <v>2.4E-2</v>
      </c>
      <c r="T102" s="1" t="s">
        <v>530</v>
      </c>
      <c r="AA102">
        <f>N102</f>
        <v>0</v>
      </c>
    </row>
    <row r="103" spans="1:28" ht="30" customHeight="1" x14ac:dyDescent="0.3">
      <c r="A103" s="30" t="s">
        <v>398</v>
      </c>
      <c r="B103" s="30" t="s">
        <v>397</v>
      </c>
      <c r="C103" s="30" t="s">
        <v>296</v>
      </c>
      <c r="D103" s="30" t="s">
        <v>297</v>
      </c>
      <c r="E103" s="30" t="s">
        <v>51</v>
      </c>
      <c r="F103" s="29">
        <f>SUM(AA101:AA102)</f>
        <v>2.4E-2</v>
      </c>
      <c r="G103" s="29"/>
      <c r="H103" s="29"/>
      <c r="I103" s="29"/>
      <c r="J103" s="29"/>
      <c r="K103" s="29">
        <f>TRUNC(ROUNDDOWN(F103,공량설정_일위대가!C57+1)*공량설정_일위대가!B56/100, 공량설정_일위대가!C57)</f>
        <v>2.4E-2</v>
      </c>
      <c r="L103" s="30" t="s">
        <v>51</v>
      </c>
      <c r="M103" s="29"/>
      <c r="N103" s="29"/>
      <c r="O103" s="29" t="s">
        <v>761</v>
      </c>
      <c r="P103" s="30" t="s">
        <v>51</v>
      </c>
      <c r="Q103" s="1" t="s">
        <v>194</v>
      </c>
      <c r="R103" s="1" t="s">
        <v>51</v>
      </c>
      <c r="T103" s="1" t="s">
        <v>532</v>
      </c>
    </row>
    <row r="104" spans="1:28" ht="30" customHeight="1" x14ac:dyDescent="0.3">
      <c r="A104" s="29"/>
      <c r="B104" s="39" t="s">
        <v>889</v>
      </c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</row>
    <row r="105" spans="1:28" ht="30" customHeight="1" x14ac:dyDescent="0.3">
      <c r="A105" s="30" t="s">
        <v>537</v>
      </c>
      <c r="B105" s="30" t="s">
        <v>535</v>
      </c>
      <c r="C105" s="30" t="s">
        <v>536</v>
      </c>
      <c r="D105" s="30" t="s">
        <v>66</v>
      </c>
      <c r="E105" s="30" t="s">
        <v>890</v>
      </c>
      <c r="F105" s="29">
        <v>1</v>
      </c>
      <c r="G105" s="29"/>
      <c r="H105" s="29">
        <v>0</v>
      </c>
      <c r="I105" s="29"/>
      <c r="J105" s="29"/>
      <c r="K105" s="29">
        <v>1</v>
      </c>
      <c r="L105" s="30" t="s">
        <v>408</v>
      </c>
      <c r="M105" s="29">
        <f>0.0108*(H105+100)/100*(I105+100)/100*(J105+100)/100</f>
        <v>1.0800000000000001E-2</v>
      </c>
      <c r="N105" s="29">
        <f>F105*M105</f>
        <v>1.0800000000000001E-2</v>
      </c>
      <c r="O105" s="30" t="s">
        <v>760</v>
      </c>
      <c r="P105" s="30" t="s">
        <v>51</v>
      </c>
      <c r="Q105" s="1" t="s">
        <v>204</v>
      </c>
      <c r="R105" s="1" t="s">
        <v>409</v>
      </c>
      <c r="S105">
        <v>1.0800000000000001E-2</v>
      </c>
      <c r="T105" s="1" t="s">
        <v>538</v>
      </c>
      <c r="AB105">
        <f>N105</f>
        <v>1.0800000000000001E-2</v>
      </c>
    </row>
    <row r="106" spans="1:28" ht="30" customHeight="1" x14ac:dyDescent="0.3">
      <c r="A106" s="30" t="s">
        <v>409</v>
      </c>
      <c r="B106" s="30" t="s">
        <v>408</v>
      </c>
      <c r="C106" s="30" t="s">
        <v>296</v>
      </c>
      <c r="D106" s="30" t="s">
        <v>297</v>
      </c>
      <c r="E106" s="30" t="s">
        <v>51</v>
      </c>
      <c r="F106" s="29">
        <f>SUM(AB105:AB105)</f>
        <v>1.0800000000000001E-2</v>
      </c>
      <c r="G106" s="29"/>
      <c r="H106" s="29"/>
      <c r="I106" s="29"/>
      <c r="J106" s="29"/>
      <c r="K106" s="29">
        <f>TRUNC(ROUNDDOWN(F106,공량설정_일위대가!C59+1)*공량설정_일위대가!B58/100, 공량설정_일위대가!C59)</f>
        <v>1.0800000000000001E-2</v>
      </c>
      <c r="L106" s="30" t="s">
        <v>51</v>
      </c>
      <c r="M106" s="29"/>
      <c r="N106" s="29"/>
      <c r="O106" s="29" t="s">
        <v>760</v>
      </c>
      <c r="P106" s="30" t="s">
        <v>51</v>
      </c>
      <c r="Q106" s="1" t="s">
        <v>204</v>
      </c>
      <c r="R106" s="1" t="s">
        <v>51</v>
      </c>
      <c r="T106" s="1" t="s">
        <v>540</v>
      </c>
    </row>
    <row r="107" spans="1:28" ht="30" customHeight="1" x14ac:dyDescent="0.3">
      <c r="A107" s="29"/>
      <c r="B107" s="39" t="s">
        <v>891</v>
      </c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</row>
    <row r="108" spans="1:28" ht="30" customHeight="1" x14ac:dyDescent="0.3">
      <c r="A108" s="30" t="s">
        <v>545</v>
      </c>
      <c r="B108" s="30" t="s">
        <v>543</v>
      </c>
      <c r="C108" s="30" t="s">
        <v>544</v>
      </c>
      <c r="D108" s="30" t="s">
        <v>66</v>
      </c>
      <c r="E108" s="30" t="s">
        <v>892</v>
      </c>
      <c r="F108" s="29">
        <v>1</v>
      </c>
      <c r="G108" s="29">
        <v>0</v>
      </c>
      <c r="H108" s="29">
        <v>20</v>
      </c>
      <c r="I108" s="29"/>
      <c r="J108" s="29"/>
      <c r="K108" s="29">
        <v>1</v>
      </c>
      <c r="L108" s="30" t="s">
        <v>295</v>
      </c>
      <c r="M108" s="29">
        <f>0.271*(H108+100)/100*(I108+100)/100*(J108+100)/100</f>
        <v>0.32520000000000004</v>
      </c>
      <c r="N108" s="29">
        <f>F108*M108</f>
        <v>0.32520000000000004</v>
      </c>
      <c r="O108" s="30" t="s">
        <v>759</v>
      </c>
      <c r="P108" s="30" t="s">
        <v>893</v>
      </c>
      <c r="Q108" s="1" t="s">
        <v>217</v>
      </c>
      <c r="R108" s="1" t="s">
        <v>298</v>
      </c>
      <c r="S108">
        <v>0.27100000000000002</v>
      </c>
      <c r="T108" s="1" t="s">
        <v>546</v>
      </c>
      <c r="Z108">
        <f>N108</f>
        <v>0.32520000000000004</v>
      </c>
    </row>
    <row r="109" spans="1:28" ht="30" customHeight="1" x14ac:dyDescent="0.3">
      <c r="A109" s="30" t="s">
        <v>298</v>
      </c>
      <c r="B109" s="30" t="s">
        <v>295</v>
      </c>
      <c r="C109" s="30" t="s">
        <v>296</v>
      </c>
      <c r="D109" s="30" t="s">
        <v>297</v>
      </c>
      <c r="E109" s="30" t="s">
        <v>51</v>
      </c>
      <c r="F109" s="29">
        <f>SUM(Z108:Z108)</f>
        <v>0.32520000000000004</v>
      </c>
      <c r="G109" s="29"/>
      <c r="H109" s="29"/>
      <c r="I109" s="29"/>
      <c r="J109" s="29"/>
      <c r="K109" s="29">
        <f>TRUNC(ROUNDDOWN(F109,공량설정_일위대가!C61+1)*공량설정_일위대가!B60/100, 공량설정_일위대가!C61)</f>
        <v>0.32519999999999999</v>
      </c>
      <c r="L109" s="30" t="s">
        <v>51</v>
      </c>
      <c r="M109" s="29"/>
      <c r="N109" s="29"/>
      <c r="O109" s="29" t="s">
        <v>759</v>
      </c>
      <c r="P109" s="30" t="s">
        <v>51</v>
      </c>
      <c r="Q109" s="1" t="s">
        <v>217</v>
      </c>
      <c r="R109" s="1" t="s">
        <v>51</v>
      </c>
      <c r="T109" s="1" t="s">
        <v>547</v>
      </c>
    </row>
    <row r="110" spans="1:28" ht="30" customHeight="1" x14ac:dyDescent="0.3">
      <c r="A110" s="29"/>
      <c r="B110" s="39" t="s">
        <v>894</v>
      </c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</row>
    <row r="111" spans="1:28" ht="30" customHeight="1" x14ac:dyDescent="0.3">
      <c r="A111" s="30" t="s">
        <v>560</v>
      </c>
      <c r="B111" s="30" t="s">
        <v>558</v>
      </c>
      <c r="C111" s="30" t="s">
        <v>559</v>
      </c>
      <c r="D111" s="30" t="s">
        <v>72</v>
      </c>
      <c r="E111" s="30" t="s">
        <v>895</v>
      </c>
      <c r="F111" s="29">
        <v>2</v>
      </c>
      <c r="G111" s="29">
        <v>0</v>
      </c>
      <c r="H111" s="29"/>
      <c r="I111" s="29"/>
      <c r="J111" s="29"/>
      <c r="K111" s="29">
        <v>2</v>
      </c>
      <c r="L111" s="30" t="s">
        <v>295</v>
      </c>
      <c r="M111" s="29">
        <f>0.04*(H111+100)/100*(I111+100)/100*(J111+100)/100</f>
        <v>0.04</v>
      </c>
      <c r="N111" s="29">
        <f>F111*M111</f>
        <v>0.08</v>
      </c>
      <c r="O111" s="30" t="s">
        <v>759</v>
      </c>
      <c r="P111" s="30" t="s">
        <v>896</v>
      </c>
      <c r="Q111" s="1" t="s">
        <v>223</v>
      </c>
      <c r="R111" s="1" t="s">
        <v>298</v>
      </c>
      <c r="S111">
        <v>0.04</v>
      </c>
      <c r="T111" s="1" t="s">
        <v>561</v>
      </c>
      <c r="Z111">
        <f>N111</f>
        <v>0.08</v>
      </c>
    </row>
    <row r="112" spans="1:28" ht="30" customHeight="1" x14ac:dyDescent="0.3">
      <c r="A112" s="30" t="s">
        <v>298</v>
      </c>
      <c r="B112" s="30" t="s">
        <v>295</v>
      </c>
      <c r="C112" s="30" t="s">
        <v>296</v>
      </c>
      <c r="D112" s="30" t="s">
        <v>297</v>
      </c>
      <c r="E112" s="30" t="s">
        <v>51</v>
      </c>
      <c r="F112" s="29">
        <f>SUM(Z111:Z111)</f>
        <v>0.08</v>
      </c>
      <c r="G112" s="29"/>
      <c r="H112" s="29"/>
      <c r="I112" s="29"/>
      <c r="J112" s="29"/>
      <c r="K112" s="29">
        <f>TRUNC(ROUNDDOWN(F112,공량설정_일위대가!C63+1)*공량설정_일위대가!B62/100, 공량설정_일위대가!C63)</f>
        <v>0.08</v>
      </c>
      <c r="L112" s="30" t="s">
        <v>51</v>
      </c>
      <c r="M112" s="29"/>
      <c r="N112" s="29"/>
      <c r="O112" s="29" t="s">
        <v>759</v>
      </c>
      <c r="P112" s="30" t="s">
        <v>51</v>
      </c>
      <c r="Q112" s="1" t="s">
        <v>223</v>
      </c>
      <c r="R112" s="1" t="s">
        <v>51</v>
      </c>
      <c r="T112" s="1" t="s">
        <v>573</v>
      </c>
    </row>
    <row r="113" spans="1:28" ht="30" customHeight="1" x14ac:dyDescent="0.3">
      <c r="A113" s="29"/>
      <c r="B113" s="39" t="s">
        <v>897</v>
      </c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</row>
    <row r="114" spans="1:28" ht="30" customHeight="1" x14ac:dyDescent="0.3">
      <c r="A114" s="30" t="s">
        <v>577</v>
      </c>
      <c r="B114" s="30" t="s">
        <v>535</v>
      </c>
      <c r="C114" s="30" t="s">
        <v>576</v>
      </c>
      <c r="D114" s="30" t="s">
        <v>66</v>
      </c>
      <c r="E114" s="30" t="s">
        <v>890</v>
      </c>
      <c r="F114" s="29">
        <v>1</v>
      </c>
      <c r="G114" s="29">
        <v>10</v>
      </c>
      <c r="H114" s="29">
        <v>50</v>
      </c>
      <c r="I114" s="29"/>
      <c r="J114" s="29"/>
      <c r="K114" s="29">
        <v>1</v>
      </c>
      <c r="L114" s="30" t="s">
        <v>408</v>
      </c>
      <c r="M114" s="29">
        <f>0.012*(H114+100)/100*(I114+100)/100*(J114+100)/100</f>
        <v>1.8000000000000002E-2</v>
      </c>
      <c r="N114" s="29">
        <f>F114*M114</f>
        <v>1.8000000000000002E-2</v>
      </c>
      <c r="O114" s="30" t="s">
        <v>760</v>
      </c>
      <c r="P114" s="30" t="s">
        <v>898</v>
      </c>
      <c r="Q114" s="1" t="s">
        <v>319</v>
      </c>
      <c r="R114" s="1" t="s">
        <v>409</v>
      </c>
      <c r="S114">
        <v>1.2E-2</v>
      </c>
      <c r="T114" s="1" t="s">
        <v>578</v>
      </c>
      <c r="AB114">
        <f>N114</f>
        <v>1.8000000000000002E-2</v>
      </c>
    </row>
    <row r="115" spans="1:28" ht="30" customHeight="1" x14ac:dyDescent="0.3">
      <c r="A115" s="30" t="s">
        <v>409</v>
      </c>
      <c r="B115" s="30" t="s">
        <v>408</v>
      </c>
      <c r="C115" s="30" t="s">
        <v>296</v>
      </c>
      <c r="D115" s="30" t="s">
        <v>297</v>
      </c>
      <c r="E115" s="30" t="s">
        <v>51</v>
      </c>
      <c r="F115" s="29">
        <f>SUM(AB114:AB114)</f>
        <v>1.8000000000000002E-2</v>
      </c>
      <c r="G115" s="29"/>
      <c r="H115" s="29"/>
      <c r="I115" s="29"/>
      <c r="J115" s="29"/>
      <c r="K115" s="29">
        <f>TRUNC(ROUNDDOWN(F115,공량설정_일위대가!C65+1)*공량설정_일위대가!B64/100, 공량설정_일위대가!C65)</f>
        <v>1.7999999999999999E-2</v>
      </c>
      <c r="L115" s="30" t="s">
        <v>51</v>
      </c>
      <c r="M115" s="29"/>
      <c r="N115" s="29"/>
      <c r="O115" s="29" t="s">
        <v>760</v>
      </c>
      <c r="P115" s="30" t="s">
        <v>51</v>
      </c>
      <c r="Q115" s="1" t="s">
        <v>319</v>
      </c>
      <c r="R115" s="1" t="s">
        <v>51</v>
      </c>
      <c r="T115" s="1" t="s">
        <v>580</v>
      </c>
    </row>
    <row r="116" spans="1:28" ht="30" customHeight="1" x14ac:dyDescent="0.3">
      <c r="A116" s="29"/>
      <c r="B116" s="39" t="s">
        <v>899</v>
      </c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</row>
    <row r="117" spans="1:28" ht="30" customHeight="1" x14ac:dyDescent="0.3">
      <c r="A117" s="30" t="s">
        <v>585</v>
      </c>
      <c r="B117" s="30" t="s">
        <v>583</v>
      </c>
      <c r="C117" s="30" t="s">
        <v>584</v>
      </c>
      <c r="D117" s="30" t="s">
        <v>72</v>
      </c>
      <c r="E117" s="30" t="s">
        <v>890</v>
      </c>
      <c r="F117" s="29">
        <v>1</v>
      </c>
      <c r="G117" s="29"/>
      <c r="H117" s="29">
        <v>0</v>
      </c>
      <c r="I117" s="29"/>
      <c r="J117" s="29"/>
      <c r="K117" s="29">
        <v>1</v>
      </c>
      <c r="L117" s="30" t="s">
        <v>405</v>
      </c>
      <c r="M117" s="29">
        <f>0.1*(H117+100)/100*(I117+100)/100*(J117+100)/100</f>
        <v>0.1</v>
      </c>
      <c r="N117" s="29">
        <f>F117*M117</f>
        <v>0.1</v>
      </c>
      <c r="O117" s="30" t="s">
        <v>754</v>
      </c>
      <c r="P117" s="30" t="s">
        <v>900</v>
      </c>
      <c r="Q117" s="1" t="s">
        <v>324</v>
      </c>
      <c r="R117" s="1" t="s">
        <v>406</v>
      </c>
      <c r="S117">
        <v>0.1</v>
      </c>
      <c r="T117" s="1" t="s">
        <v>586</v>
      </c>
      <c r="V117">
        <f>N117</f>
        <v>0.1</v>
      </c>
    </row>
    <row r="118" spans="1:28" ht="30" customHeight="1" x14ac:dyDescent="0.3">
      <c r="A118" s="30" t="s">
        <v>51</v>
      </c>
      <c r="B118" s="30" t="s">
        <v>51</v>
      </c>
      <c r="C118" s="30" t="s">
        <v>51</v>
      </c>
      <c r="D118" s="30" t="s">
        <v>51</v>
      </c>
      <c r="E118" s="30" t="s">
        <v>51</v>
      </c>
      <c r="F118" s="29"/>
      <c r="G118" s="29"/>
      <c r="H118" s="29"/>
      <c r="I118" s="29"/>
      <c r="J118" s="29"/>
      <c r="K118" s="29"/>
      <c r="L118" s="30" t="s">
        <v>408</v>
      </c>
      <c r="M118" s="29">
        <f>0.2*(H117+100)/100*(I117+100)/100*(J117+100)/100</f>
        <v>0.2</v>
      </c>
      <c r="N118" s="29">
        <f>F117*M118</f>
        <v>0.2</v>
      </c>
      <c r="O118" s="30" t="s">
        <v>760</v>
      </c>
      <c r="P118" s="30" t="s">
        <v>901</v>
      </c>
      <c r="Q118" s="1" t="s">
        <v>324</v>
      </c>
      <c r="R118" s="1" t="s">
        <v>409</v>
      </c>
      <c r="S118">
        <v>0.2</v>
      </c>
      <c r="T118" s="1" t="s">
        <v>586</v>
      </c>
      <c r="AB118">
        <f>N118</f>
        <v>0.2</v>
      </c>
    </row>
    <row r="119" spans="1:28" ht="30" customHeight="1" x14ac:dyDescent="0.3">
      <c r="A119" s="30" t="s">
        <v>406</v>
      </c>
      <c r="B119" s="30" t="s">
        <v>405</v>
      </c>
      <c r="C119" s="30" t="s">
        <v>296</v>
      </c>
      <c r="D119" s="30" t="s">
        <v>297</v>
      </c>
      <c r="E119" s="30" t="s">
        <v>51</v>
      </c>
      <c r="F119" s="29">
        <f>SUM(V117:V118)</f>
        <v>0.1</v>
      </c>
      <c r="G119" s="29"/>
      <c r="H119" s="29"/>
      <c r="I119" s="29"/>
      <c r="J119" s="29"/>
      <c r="K119" s="29">
        <f>TRUNC(ROUNDDOWN(F119,공량설정_일위대가!C67+1)*공량설정_일위대가!B66/100, 공량설정_일위대가!C67)</f>
        <v>0.1</v>
      </c>
      <c r="L119" s="30" t="s">
        <v>51</v>
      </c>
      <c r="M119" s="29"/>
      <c r="N119" s="29"/>
      <c r="O119" s="29" t="s">
        <v>754</v>
      </c>
      <c r="P119" s="30" t="s">
        <v>51</v>
      </c>
      <c r="Q119" s="1" t="s">
        <v>324</v>
      </c>
      <c r="R119" s="1" t="s">
        <v>51</v>
      </c>
      <c r="T119" s="1" t="s">
        <v>587</v>
      </c>
    </row>
    <row r="120" spans="1:28" ht="30" customHeight="1" x14ac:dyDescent="0.3">
      <c r="A120" s="30" t="s">
        <v>409</v>
      </c>
      <c r="B120" s="30" t="s">
        <v>408</v>
      </c>
      <c r="C120" s="30" t="s">
        <v>296</v>
      </c>
      <c r="D120" s="30" t="s">
        <v>297</v>
      </c>
      <c r="E120" s="30" t="s">
        <v>51</v>
      </c>
      <c r="F120" s="29">
        <f>SUM(AB117:AB118)</f>
        <v>0.2</v>
      </c>
      <c r="G120" s="29"/>
      <c r="H120" s="29"/>
      <c r="I120" s="29"/>
      <c r="J120" s="29"/>
      <c r="K120" s="29">
        <f>TRUNC(ROUNDDOWN(F120,공량설정_일위대가!C68+1)*공량설정_일위대가!B66/100, 공량설정_일위대가!C68)</f>
        <v>0.2</v>
      </c>
      <c r="L120" s="30" t="s">
        <v>51</v>
      </c>
      <c r="M120" s="29"/>
      <c r="N120" s="29"/>
      <c r="O120" s="29" t="s">
        <v>760</v>
      </c>
      <c r="P120" s="30" t="s">
        <v>51</v>
      </c>
      <c r="Q120" s="1" t="s">
        <v>324</v>
      </c>
      <c r="R120" s="1" t="s">
        <v>51</v>
      </c>
      <c r="T120" s="1" t="s">
        <v>588</v>
      </c>
    </row>
    <row r="121" spans="1:28" ht="30" customHeight="1" x14ac:dyDescent="0.3">
      <c r="A121" s="29"/>
      <c r="B121" s="39" t="s">
        <v>902</v>
      </c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</row>
    <row r="122" spans="1:28" ht="30" customHeight="1" x14ac:dyDescent="0.3">
      <c r="A122" s="30" t="s">
        <v>593</v>
      </c>
      <c r="B122" s="30" t="s">
        <v>591</v>
      </c>
      <c r="C122" s="30" t="s">
        <v>592</v>
      </c>
      <c r="D122" s="30" t="s">
        <v>342</v>
      </c>
      <c r="E122" s="30" t="s">
        <v>903</v>
      </c>
      <c r="F122" s="29">
        <v>1</v>
      </c>
      <c r="G122" s="29"/>
      <c r="H122" s="29">
        <v>0</v>
      </c>
      <c r="I122" s="29"/>
      <c r="J122" s="29"/>
      <c r="K122" s="29">
        <v>1.1000000000000001</v>
      </c>
      <c r="L122" s="30" t="s">
        <v>405</v>
      </c>
      <c r="M122" s="29">
        <f>1.1*(H122+100)/100*(I122+100)/100*(J122+100)/100</f>
        <v>1.1000000000000001</v>
      </c>
      <c r="N122" s="29">
        <f>F122*M122</f>
        <v>1.1000000000000001</v>
      </c>
      <c r="O122" s="30" t="s">
        <v>754</v>
      </c>
      <c r="P122" s="30" t="s">
        <v>904</v>
      </c>
      <c r="Q122" s="1" t="s">
        <v>344</v>
      </c>
      <c r="R122" s="1" t="s">
        <v>406</v>
      </c>
      <c r="S122">
        <v>1.1000000000000001</v>
      </c>
      <c r="T122" s="1" t="s">
        <v>594</v>
      </c>
      <c r="V122">
        <f>N122</f>
        <v>1.1000000000000001</v>
      </c>
    </row>
    <row r="123" spans="1:28" ht="30" customHeight="1" x14ac:dyDescent="0.3">
      <c r="A123" s="30" t="s">
        <v>406</v>
      </c>
      <c r="B123" s="30" t="s">
        <v>405</v>
      </c>
      <c r="C123" s="30" t="s">
        <v>296</v>
      </c>
      <c r="D123" s="30" t="s">
        <v>297</v>
      </c>
      <c r="E123" s="30" t="s">
        <v>51</v>
      </c>
      <c r="F123" s="29">
        <f>SUM(V122:V122)</f>
        <v>1.1000000000000001</v>
      </c>
      <c r="G123" s="29"/>
      <c r="H123" s="29"/>
      <c r="I123" s="29"/>
      <c r="J123" s="29"/>
      <c r="K123" s="29">
        <f>TRUNC(ROUNDDOWN(F123,공량설정_일위대가!C70+1)*공량설정_일위대가!B69/100, 공량설정_일위대가!C70)</f>
        <v>1.1000000000000001</v>
      </c>
      <c r="L123" s="30" t="s">
        <v>51</v>
      </c>
      <c r="M123" s="29"/>
      <c r="N123" s="29"/>
      <c r="O123" s="29" t="s">
        <v>754</v>
      </c>
      <c r="P123" s="30" t="s">
        <v>51</v>
      </c>
      <c r="Q123" s="1" t="s">
        <v>344</v>
      </c>
      <c r="R123" s="1" t="s">
        <v>51</v>
      </c>
      <c r="T123" s="1" t="s">
        <v>595</v>
      </c>
    </row>
  </sheetData>
  <mergeCells count="33">
    <mergeCell ref="B113:P113"/>
    <mergeCell ref="B116:P116"/>
    <mergeCell ref="B121:P121"/>
    <mergeCell ref="B92:P92"/>
    <mergeCell ref="B96:P96"/>
    <mergeCell ref="B100:P100"/>
    <mergeCell ref="B104:P104"/>
    <mergeCell ref="B107:P107"/>
    <mergeCell ref="B110:P110"/>
    <mergeCell ref="B89:P89"/>
    <mergeCell ref="B48:P48"/>
    <mergeCell ref="B51:P51"/>
    <mergeCell ref="B54:P54"/>
    <mergeCell ref="B57:P57"/>
    <mergeCell ref="B61:P61"/>
    <mergeCell ref="B64:P64"/>
    <mergeCell ref="B68:P68"/>
    <mergeCell ref="B72:P72"/>
    <mergeCell ref="B79:P79"/>
    <mergeCell ref="B82:P82"/>
    <mergeCell ref="B85:P85"/>
    <mergeCell ref="B45:P45"/>
    <mergeCell ref="A1:P1"/>
    <mergeCell ref="A2:P2"/>
    <mergeCell ref="B4:P4"/>
    <mergeCell ref="B14:P14"/>
    <mergeCell ref="B17:P17"/>
    <mergeCell ref="B20:P20"/>
    <mergeCell ref="B24:P24"/>
    <mergeCell ref="B28:P28"/>
    <mergeCell ref="B31:P31"/>
    <mergeCell ref="B35:P35"/>
    <mergeCell ref="B42:P42"/>
  </mergeCells>
  <phoneticPr fontId="1" type="noConversion"/>
  <pageMargins left="0.78740157480314954" right="0" top="0.39370078740157477" bottom="0.39370078740157477" header="0" footer="0"/>
  <pageSetup paperSize="9" scale="54" fitToHeight="0" orientation="landscape" r:id="rId1"/>
  <rowBreaks count="1" manualBreakCount="1">
    <brk id="33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E87E2-28A5-457A-A1EB-D3AFBF1B53A8}">
  <sheetPr>
    <pageSetUpPr fitToPage="1"/>
  </sheetPr>
  <dimension ref="A1:AB66"/>
  <sheetViews>
    <sheetView view="pageBreakPreview" topLeftCell="B1" zoomScale="85" zoomScaleNormal="100" zoomScaleSheetLayoutView="85" workbookViewId="0">
      <selection activeCell="C47" sqref="C47"/>
    </sheetView>
  </sheetViews>
  <sheetFormatPr defaultRowHeight="16.5" x14ac:dyDescent="0.3"/>
  <cols>
    <col min="1" max="1" width="45.75" hidden="1" customWidth="1"/>
    <col min="2" max="2" width="24.125" bestFit="1" customWidth="1"/>
    <col min="3" max="3" width="69.875" bestFit="1" customWidth="1"/>
    <col min="4" max="4" width="5.5" bestFit="1" customWidth="1"/>
    <col min="5" max="5" width="9.25" bestFit="1" customWidth="1"/>
    <col min="6" max="6" width="9.5" bestFit="1" customWidth="1"/>
    <col min="7" max="7" width="9.25" bestFit="1" customWidth="1"/>
    <col min="8" max="8" width="6.625" bestFit="1" customWidth="1"/>
    <col min="9" max="9" width="10.25" bestFit="1" customWidth="1"/>
    <col min="10" max="10" width="6.625" bestFit="1" customWidth="1"/>
    <col min="11" max="11" width="9.25" bestFit="1" customWidth="1"/>
    <col min="12" max="12" width="6.625" bestFit="1" customWidth="1"/>
    <col min="13" max="13" width="12.875" bestFit="1" customWidth="1"/>
    <col min="14" max="14" width="6.625" bestFit="1" customWidth="1"/>
    <col min="15" max="15" width="12.875" bestFit="1" customWidth="1"/>
    <col min="16" max="16" width="10.25" bestFit="1" customWidth="1"/>
    <col min="17" max="22" width="9.25" bestFit="1" customWidth="1"/>
    <col min="23" max="23" width="7.875" bestFit="1" customWidth="1"/>
    <col min="24" max="24" width="6.7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40" t="s">
        <v>616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</row>
    <row r="2" spans="1:28" ht="30" customHeight="1" x14ac:dyDescent="0.3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</row>
    <row r="3" spans="1:28" ht="30" customHeight="1" x14ac:dyDescent="0.3">
      <c r="A3" s="37" t="s">
        <v>245</v>
      </c>
      <c r="B3" s="37" t="s">
        <v>2</v>
      </c>
      <c r="C3" s="37" t="s">
        <v>617</v>
      </c>
      <c r="D3" s="37" t="s">
        <v>4</v>
      </c>
      <c r="E3" s="37" t="s">
        <v>6</v>
      </c>
      <c r="F3" s="37"/>
      <c r="G3" s="37"/>
      <c r="H3" s="37"/>
      <c r="I3" s="37"/>
      <c r="J3" s="37"/>
      <c r="K3" s="37"/>
      <c r="L3" s="37"/>
      <c r="M3" s="37"/>
      <c r="N3" s="37"/>
      <c r="O3" s="37"/>
      <c r="P3" s="37" t="s">
        <v>247</v>
      </c>
      <c r="Q3" s="37" t="s">
        <v>248</v>
      </c>
      <c r="R3" s="37"/>
      <c r="S3" s="37"/>
      <c r="T3" s="37"/>
      <c r="U3" s="37"/>
      <c r="V3" s="37"/>
      <c r="W3" s="37" t="s">
        <v>250</v>
      </c>
      <c r="X3" s="37" t="s">
        <v>12</v>
      </c>
      <c r="Y3" s="33" t="s">
        <v>625</v>
      </c>
      <c r="Z3" s="33" t="s">
        <v>626</v>
      </c>
      <c r="AA3" s="33" t="s">
        <v>627</v>
      </c>
      <c r="AB3" s="33" t="s">
        <v>48</v>
      </c>
    </row>
    <row r="4" spans="1:28" ht="30" customHeight="1" x14ac:dyDescent="0.3">
      <c r="A4" s="37"/>
      <c r="B4" s="37"/>
      <c r="C4" s="37"/>
      <c r="D4" s="37"/>
      <c r="E4" s="7" t="s">
        <v>618</v>
      </c>
      <c r="F4" s="7" t="s">
        <v>619</v>
      </c>
      <c r="G4" s="7" t="s">
        <v>620</v>
      </c>
      <c r="H4" s="7" t="s">
        <v>619</v>
      </c>
      <c r="I4" s="7" t="s">
        <v>621</v>
      </c>
      <c r="J4" s="7" t="s">
        <v>619</v>
      </c>
      <c r="K4" s="7" t="s">
        <v>622</v>
      </c>
      <c r="L4" s="7" t="s">
        <v>619</v>
      </c>
      <c r="M4" s="7" t="s">
        <v>623</v>
      </c>
      <c r="N4" s="7" t="s">
        <v>619</v>
      </c>
      <c r="O4" s="7" t="s">
        <v>624</v>
      </c>
      <c r="P4" s="37"/>
      <c r="Q4" s="7" t="s">
        <v>618</v>
      </c>
      <c r="R4" s="7" t="s">
        <v>620</v>
      </c>
      <c r="S4" s="7" t="s">
        <v>621</v>
      </c>
      <c r="T4" s="7" t="s">
        <v>622</v>
      </c>
      <c r="U4" s="7" t="s">
        <v>623</v>
      </c>
      <c r="V4" s="7" t="s">
        <v>624</v>
      </c>
      <c r="W4" s="37"/>
      <c r="X4" s="37"/>
      <c r="Y4" s="33"/>
      <c r="Z4" s="33"/>
      <c r="AA4" s="33"/>
      <c r="AB4" s="33"/>
    </row>
    <row r="5" spans="1:28" ht="30" customHeight="1" x14ac:dyDescent="0.3">
      <c r="A5" s="13" t="s">
        <v>603</v>
      </c>
      <c r="B5" s="13" t="s">
        <v>346</v>
      </c>
      <c r="C5" s="13" t="s">
        <v>601</v>
      </c>
      <c r="D5" s="26" t="s">
        <v>602</v>
      </c>
      <c r="E5" s="27">
        <v>0</v>
      </c>
      <c r="F5" s="13" t="s">
        <v>51</v>
      </c>
      <c r="G5" s="27">
        <v>0</v>
      </c>
      <c r="H5" s="13" t="s">
        <v>51</v>
      </c>
      <c r="I5" s="27">
        <v>0</v>
      </c>
      <c r="J5" s="13" t="s">
        <v>51</v>
      </c>
      <c r="K5" s="27">
        <v>0</v>
      </c>
      <c r="L5" s="13" t="s">
        <v>51</v>
      </c>
      <c r="M5" s="27">
        <v>0</v>
      </c>
      <c r="N5" s="13" t="s">
        <v>51</v>
      </c>
      <c r="O5" s="27">
        <v>0</v>
      </c>
      <c r="P5" s="27">
        <v>0</v>
      </c>
      <c r="Q5" s="27">
        <v>0</v>
      </c>
      <c r="R5" s="27">
        <v>0</v>
      </c>
      <c r="S5" s="27">
        <v>0</v>
      </c>
      <c r="T5" s="27">
        <v>0</v>
      </c>
      <c r="U5" s="27">
        <v>82100</v>
      </c>
      <c r="V5" s="27">
        <f>SMALL(Q5:U5,COUNTIF(Q5:U5,0)+1)</f>
        <v>82100</v>
      </c>
      <c r="W5" s="13" t="s">
        <v>628</v>
      </c>
      <c r="X5" s="13" t="s">
        <v>629</v>
      </c>
      <c r="Y5" s="1" t="s">
        <v>51</v>
      </c>
      <c r="Z5" s="1" t="s">
        <v>51</v>
      </c>
      <c r="AA5" s="28"/>
      <c r="AB5" s="1" t="s">
        <v>51</v>
      </c>
    </row>
    <row r="6" spans="1:28" ht="30" customHeight="1" x14ac:dyDescent="0.3">
      <c r="A6" s="13" t="s">
        <v>593</v>
      </c>
      <c r="B6" s="13" t="s">
        <v>591</v>
      </c>
      <c r="C6" s="13" t="s">
        <v>592</v>
      </c>
      <c r="D6" s="26" t="s">
        <v>342</v>
      </c>
      <c r="E6" s="27">
        <v>0</v>
      </c>
      <c r="F6" s="13" t="s">
        <v>51</v>
      </c>
      <c r="G6" s="27">
        <v>33000</v>
      </c>
      <c r="H6" s="13" t="s">
        <v>630</v>
      </c>
      <c r="I6" s="27">
        <v>35800</v>
      </c>
      <c r="J6" s="13" t="s">
        <v>631</v>
      </c>
      <c r="K6" s="27">
        <v>0</v>
      </c>
      <c r="L6" s="13" t="s">
        <v>51</v>
      </c>
      <c r="M6" s="27">
        <v>0</v>
      </c>
      <c r="N6" s="13" t="s">
        <v>51</v>
      </c>
      <c r="O6" s="27">
        <f t="shared" ref="O6:O37" si="0">SMALL(E6:M6,COUNTIF(E6:M6,0)+1)</f>
        <v>33000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13" t="s">
        <v>632</v>
      </c>
      <c r="X6" s="13" t="s">
        <v>633</v>
      </c>
      <c r="Y6" s="1" t="s">
        <v>51</v>
      </c>
      <c r="Z6" s="1" t="s">
        <v>51</v>
      </c>
      <c r="AA6" s="28"/>
      <c r="AB6" s="1" t="s">
        <v>51</v>
      </c>
    </row>
    <row r="7" spans="1:28" ht="30" customHeight="1" x14ac:dyDescent="0.3">
      <c r="A7" s="13" t="s">
        <v>611</v>
      </c>
      <c r="B7" s="13" t="s">
        <v>608</v>
      </c>
      <c r="C7" s="13" t="s">
        <v>609</v>
      </c>
      <c r="D7" s="26" t="s">
        <v>610</v>
      </c>
      <c r="E7" s="27">
        <v>0</v>
      </c>
      <c r="F7" s="13" t="s">
        <v>51</v>
      </c>
      <c r="G7" s="27">
        <v>1670</v>
      </c>
      <c r="H7" s="13" t="s">
        <v>634</v>
      </c>
      <c r="I7" s="27">
        <v>1798</v>
      </c>
      <c r="J7" s="13" t="s">
        <v>635</v>
      </c>
      <c r="K7" s="27">
        <v>0</v>
      </c>
      <c r="L7" s="13" t="s">
        <v>51</v>
      </c>
      <c r="M7" s="27">
        <v>0</v>
      </c>
      <c r="N7" s="13" t="s">
        <v>51</v>
      </c>
      <c r="O7" s="27">
        <f t="shared" si="0"/>
        <v>1670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13" t="s">
        <v>636</v>
      </c>
      <c r="X7" s="13" t="s">
        <v>51</v>
      </c>
      <c r="Y7" s="1" t="s">
        <v>51</v>
      </c>
      <c r="Z7" s="1" t="s">
        <v>51</v>
      </c>
      <c r="AA7" s="28"/>
      <c r="AB7" s="1" t="s">
        <v>51</v>
      </c>
    </row>
    <row r="8" spans="1:28" ht="30" customHeight="1" x14ac:dyDescent="0.3">
      <c r="A8" s="13" t="s">
        <v>537</v>
      </c>
      <c r="B8" s="13" t="s">
        <v>535</v>
      </c>
      <c r="C8" s="13" t="s">
        <v>536</v>
      </c>
      <c r="D8" s="26" t="s">
        <v>66</v>
      </c>
      <c r="E8" s="27">
        <v>2545</v>
      </c>
      <c r="F8" s="13" t="s">
        <v>637</v>
      </c>
      <c r="G8" s="27">
        <v>3274</v>
      </c>
      <c r="H8" s="13" t="s">
        <v>638</v>
      </c>
      <c r="I8" s="27">
        <v>3379</v>
      </c>
      <c r="J8" s="13" t="s">
        <v>639</v>
      </c>
      <c r="K8" s="27">
        <v>0</v>
      </c>
      <c r="L8" s="13" t="s">
        <v>51</v>
      </c>
      <c r="M8" s="27">
        <v>0</v>
      </c>
      <c r="N8" s="13" t="s">
        <v>51</v>
      </c>
      <c r="O8" s="27">
        <f t="shared" si="0"/>
        <v>2545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13" t="s">
        <v>640</v>
      </c>
      <c r="X8" s="13" t="s">
        <v>51</v>
      </c>
      <c r="Y8" s="1" t="s">
        <v>51</v>
      </c>
      <c r="Z8" s="1" t="s">
        <v>51</v>
      </c>
      <c r="AA8" s="28"/>
      <c r="AB8" s="1" t="s">
        <v>51</v>
      </c>
    </row>
    <row r="9" spans="1:28" ht="30" customHeight="1" x14ac:dyDescent="0.3">
      <c r="A9" s="13" t="s">
        <v>577</v>
      </c>
      <c r="B9" s="13" t="s">
        <v>535</v>
      </c>
      <c r="C9" s="13" t="s">
        <v>576</v>
      </c>
      <c r="D9" s="26" t="s">
        <v>66</v>
      </c>
      <c r="E9" s="27">
        <v>5522</v>
      </c>
      <c r="F9" s="13" t="s">
        <v>641</v>
      </c>
      <c r="G9" s="27">
        <v>6905</v>
      </c>
      <c r="H9" s="13" t="s">
        <v>638</v>
      </c>
      <c r="I9" s="27">
        <v>7331</v>
      </c>
      <c r="J9" s="13" t="s">
        <v>639</v>
      </c>
      <c r="K9" s="27">
        <v>0</v>
      </c>
      <c r="L9" s="13" t="s">
        <v>51</v>
      </c>
      <c r="M9" s="27">
        <v>0</v>
      </c>
      <c r="N9" s="13" t="s">
        <v>51</v>
      </c>
      <c r="O9" s="27">
        <f t="shared" si="0"/>
        <v>5522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13" t="s">
        <v>642</v>
      </c>
      <c r="X9" s="13" t="s">
        <v>51</v>
      </c>
      <c r="Y9" s="1" t="s">
        <v>51</v>
      </c>
      <c r="Z9" s="1" t="s">
        <v>51</v>
      </c>
      <c r="AA9" s="28"/>
      <c r="AB9" s="1" t="s">
        <v>51</v>
      </c>
    </row>
    <row r="10" spans="1:28" ht="30" customHeight="1" x14ac:dyDescent="0.3">
      <c r="A10" s="13" t="s">
        <v>500</v>
      </c>
      <c r="B10" s="13" t="s">
        <v>168</v>
      </c>
      <c r="C10" s="13" t="s">
        <v>499</v>
      </c>
      <c r="D10" s="26" t="s">
        <v>66</v>
      </c>
      <c r="E10" s="27">
        <v>1447</v>
      </c>
      <c r="F10" s="13" t="s">
        <v>643</v>
      </c>
      <c r="G10" s="27">
        <v>1867</v>
      </c>
      <c r="H10" s="13" t="s">
        <v>644</v>
      </c>
      <c r="I10" s="27">
        <v>1848</v>
      </c>
      <c r="J10" s="13" t="s">
        <v>645</v>
      </c>
      <c r="K10" s="27">
        <v>0</v>
      </c>
      <c r="L10" s="13" t="s">
        <v>51</v>
      </c>
      <c r="M10" s="27">
        <v>0</v>
      </c>
      <c r="N10" s="13" t="s">
        <v>51</v>
      </c>
      <c r="O10" s="27">
        <f t="shared" si="0"/>
        <v>1447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13" t="s">
        <v>646</v>
      </c>
      <c r="X10" s="13" t="s">
        <v>51</v>
      </c>
      <c r="Y10" s="1" t="s">
        <v>51</v>
      </c>
      <c r="Z10" s="1" t="s">
        <v>51</v>
      </c>
      <c r="AA10" s="28"/>
      <c r="AB10" s="1" t="s">
        <v>51</v>
      </c>
    </row>
    <row r="11" spans="1:28" ht="30" customHeight="1" x14ac:dyDescent="0.3">
      <c r="A11" s="13" t="s">
        <v>454</v>
      </c>
      <c r="B11" s="13" t="s">
        <v>452</v>
      </c>
      <c r="C11" s="13" t="s">
        <v>453</v>
      </c>
      <c r="D11" s="26" t="s">
        <v>66</v>
      </c>
      <c r="E11" s="27">
        <v>2831</v>
      </c>
      <c r="F11" s="13" t="s">
        <v>647</v>
      </c>
      <c r="G11" s="27">
        <v>0</v>
      </c>
      <c r="H11" s="13" t="s">
        <v>51</v>
      </c>
      <c r="I11" s="27">
        <v>12934</v>
      </c>
      <c r="J11" s="13" t="s">
        <v>648</v>
      </c>
      <c r="K11" s="27">
        <v>0</v>
      </c>
      <c r="L11" s="13" t="s">
        <v>51</v>
      </c>
      <c r="M11" s="27">
        <v>0</v>
      </c>
      <c r="N11" s="13" t="s">
        <v>51</v>
      </c>
      <c r="O11" s="27">
        <f t="shared" si="0"/>
        <v>2831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13" t="s">
        <v>649</v>
      </c>
      <c r="X11" s="13" t="s">
        <v>51</v>
      </c>
      <c r="Y11" s="1" t="s">
        <v>51</v>
      </c>
      <c r="Z11" s="1" t="s">
        <v>51</v>
      </c>
      <c r="AA11" s="28"/>
      <c r="AB11" s="1" t="s">
        <v>51</v>
      </c>
    </row>
    <row r="12" spans="1:28" ht="30" customHeight="1" x14ac:dyDescent="0.3">
      <c r="A12" s="13" t="s">
        <v>461</v>
      </c>
      <c r="B12" s="13" t="s">
        <v>392</v>
      </c>
      <c r="C12" s="13" t="s">
        <v>460</v>
      </c>
      <c r="D12" s="26" t="s">
        <v>66</v>
      </c>
      <c r="E12" s="27">
        <v>570</v>
      </c>
      <c r="F12" s="13" t="s">
        <v>650</v>
      </c>
      <c r="G12" s="27">
        <v>0</v>
      </c>
      <c r="H12" s="13" t="s">
        <v>51</v>
      </c>
      <c r="I12" s="27">
        <v>1659</v>
      </c>
      <c r="J12" s="13" t="s">
        <v>648</v>
      </c>
      <c r="K12" s="27">
        <v>0</v>
      </c>
      <c r="L12" s="13" t="s">
        <v>51</v>
      </c>
      <c r="M12" s="27">
        <v>0</v>
      </c>
      <c r="N12" s="13" t="s">
        <v>51</v>
      </c>
      <c r="O12" s="27">
        <f t="shared" si="0"/>
        <v>570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13" t="s">
        <v>651</v>
      </c>
      <c r="X12" s="13" t="s">
        <v>51</v>
      </c>
      <c r="Y12" s="1" t="s">
        <v>51</v>
      </c>
      <c r="Z12" s="1" t="s">
        <v>51</v>
      </c>
      <c r="AA12" s="28"/>
      <c r="AB12" s="1" t="s">
        <v>51</v>
      </c>
    </row>
    <row r="13" spans="1:28" ht="30" customHeight="1" x14ac:dyDescent="0.3">
      <c r="A13" s="13" t="s">
        <v>467</v>
      </c>
      <c r="B13" s="13" t="s">
        <v>392</v>
      </c>
      <c r="C13" s="13" t="s">
        <v>466</v>
      </c>
      <c r="D13" s="26" t="s">
        <v>66</v>
      </c>
      <c r="E13" s="27">
        <v>570</v>
      </c>
      <c r="F13" s="13" t="s">
        <v>650</v>
      </c>
      <c r="G13" s="27">
        <v>0</v>
      </c>
      <c r="H13" s="13" t="s">
        <v>51</v>
      </c>
      <c r="I13" s="27">
        <v>1659</v>
      </c>
      <c r="J13" s="13" t="s">
        <v>648</v>
      </c>
      <c r="K13" s="27">
        <v>0</v>
      </c>
      <c r="L13" s="13" t="s">
        <v>51</v>
      </c>
      <c r="M13" s="27">
        <v>0</v>
      </c>
      <c r="N13" s="13" t="s">
        <v>51</v>
      </c>
      <c r="O13" s="27">
        <f t="shared" si="0"/>
        <v>570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13" t="s">
        <v>652</v>
      </c>
      <c r="X13" s="13" t="s">
        <v>51</v>
      </c>
      <c r="Y13" s="1" t="s">
        <v>51</v>
      </c>
      <c r="Z13" s="1" t="s">
        <v>51</v>
      </c>
      <c r="AA13" s="28"/>
      <c r="AB13" s="1" t="s">
        <v>51</v>
      </c>
    </row>
    <row r="14" spans="1:28" ht="30" customHeight="1" x14ac:dyDescent="0.3">
      <c r="A14" s="13" t="s">
        <v>473</v>
      </c>
      <c r="B14" s="13" t="s">
        <v>392</v>
      </c>
      <c r="C14" s="13" t="s">
        <v>472</v>
      </c>
      <c r="D14" s="26" t="s">
        <v>66</v>
      </c>
      <c r="E14" s="27">
        <v>570</v>
      </c>
      <c r="F14" s="13" t="s">
        <v>650</v>
      </c>
      <c r="G14" s="27">
        <v>0</v>
      </c>
      <c r="H14" s="13" t="s">
        <v>51</v>
      </c>
      <c r="I14" s="27">
        <v>1659</v>
      </c>
      <c r="J14" s="13" t="s">
        <v>648</v>
      </c>
      <c r="K14" s="27">
        <v>0</v>
      </c>
      <c r="L14" s="13" t="s">
        <v>51</v>
      </c>
      <c r="M14" s="27">
        <v>0</v>
      </c>
      <c r="N14" s="13" t="s">
        <v>51</v>
      </c>
      <c r="O14" s="27">
        <f t="shared" si="0"/>
        <v>570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13" t="s">
        <v>653</v>
      </c>
      <c r="X14" s="13" t="s">
        <v>51</v>
      </c>
      <c r="Y14" s="1" t="s">
        <v>51</v>
      </c>
      <c r="Z14" s="1" t="s">
        <v>51</v>
      </c>
      <c r="AA14" s="28"/>
      <c r="AB14" s="1" t="s">
        <v>51</v>
      </c>
    </row>
    <row r="15" spans="1:28" ht="30" customHeight="1" x14ac:dyDescent="0.3">
      <c r="A15" s="13" t="s">
        <v>521</v>
      </c>
      <c r="B15" s="13" t="s">
        <v>519</v>
      </c>
      <c r="C15" s="13" t="s">
        <v>520</v>
      </c>
      <c r="D15" s="26" t="s">
        <v>66</v>
      </c>
      <c r="E15" s="27">
        <v>0</v>
      </c>
      <c r="F15" s="13" t="s">
        <v>51</v>
      </c>
      <c r="G15" s="27">
        <v>930</v>
      </c>
      <c r="H15" s="13" t="s">
        <v>654</v>
      </c>
      <c r="I15" s="27">
        <v>930</v>
      </c>
      <c r="J15" s="13" t="s">
        <v>655</v>
      </c>
      <c r="K15" s="27">
        <v>0</v>
      </c>
      <c r="L15" s="13" t="s">
        <v>51</v>
      </c>
      <c r="M15" s="27">
        <v>0</v>
      </c>
      <c r="N15" s="13" t="s">
        <v>51</v>
      </c>
      <c r="O15" s="27">
        <f t="shared" si="0"/>
        <v>930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13" t="s">
        <v>656</v>
      </c>
      <c r="X15" s="13" t="s">
        <v>51</v>
      </c>
      <c r="Y15" s="1" t="s">
        <v>51</v>
      </c>
      <c r="Z15" s="1" t="s">
        <v>51</v>
      </c>
      <c r="AA15" s="28"/>
      <c r="AB15" s="1" t="s">
        <v>51</v>
      </c>
    </row>
    <row r="16" spans="1:28" ht="30" customHeight="1" x14ac:dyDescent="0.3">
      <c r="A16" s="13" t="s">
        <v>529</v>
      </c>
      <c r="B16" s="13" t="s">
        <v>527</v>
      </c>
      <c r="C16" s="13" t="s">
        <v>528</v>
      </c>
      <c r="D16" s="26" t="s">
        <v>66</v>
      </c>
      <c r="E16" s="27">
        <v>0</v>
      </c>
      <c r="F16" s="13" t="s">
        <v>51</v>
      </c>
      <c r="G16" s="27">
        <v>1430</v>
      </c>
      <c r="H16" s="13" t="s">
        <v>654</v>
      </c>
      <c r="I16" s="27">
        <v>1430</v>
      </c>
      <c r="J16" s="13" t="s">
        <v>655</v>
      </c>
      <c r="K16" s="27">
        <v>0</v>
      </c>
      <c r="L16" s="13" t="s">
        <v>51</v>
      </c>
      <c r="M16" s="27">
        <v>0</v>
      </c>
      <c r="N16" s="13" t="s">
        <v>51</v>
      </c>
      <c r="O16" s="27">
        <f t="shared" si="0"/>
        <v>1430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13" t="s">
        <v>657</v>
      </c>
      <c r="X16" s="13" t="s">
        <v>51</v>
      </c>
      <c r="Y16" s="1" t="s">
        <v>51</v>
      </c>
      <c r="Z16" s="1" t="s">
        <v>51</v>
      </c>
      <c r="AA16" s="28"/>
      <c r="AB16" s="1" t="s">
        <v>51</v>
      </c>
    </row>
    <row r="17" spans="1:28" ht="30" customHeight="1" x14ac:dyDescent="0.3">
      <c r="A17" s="13" t="s">
        <v>513</v>
      </c>
      <c r="B17" s="13" t="s">
        <v>182</v>
      </c>
      <c r="C17" s="13" t="s">
        <v>182</v>
      </c>
      <c r="D17" s="26" t="s">
        <v>66</v>
      </c>
      <c r="E17" s="27">
        <v>0</v>
      </c>
      <c r="F17" s="13" t="s">
        <v>51</v>
      </c>
      <c r="G17" s="27">
        <v>15000</v>
      </c>
      <c r="H17" s="13" t="s">
        <v>658</v>
      </c>
      <c r="I17" s="27">
        <v>0</v>
      </c>
      <c r="J17" s="13" t="s">
        <v>51</v>
      </c>
      <c r="K17" s="27">
        <v>0</v>
      </c>
      <c r="L17" s="13" t="s">
        <v>51</v>
      </c>
      <c r="M17" s="27">
        <v>0</v>
      </c>
      <c r="N17" s="13" t="s">
        <v>51</v>
      </c>
      <c r="O17" s="27">
        <f t="shared" si="0"/>
        <v>15000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13" t="s">
        <v>659</v>
      </c>
      <c r="X17" s="13" t="s">
        <v>51</v>
      </c>
      <c r="Y17" s="1" t="s">
        <v>51</v>
      </c>
      <c r="Z17" s="1" t="s">
        <v>51</v>
      </c>
      <c r="AA17" s="28"/>
      <c r="AB17" s="1" t="s">
        <v>51</v>
      </c>
    </row>
    <row r="18" spans="1:28" ht="30" customHeight="1" x14ac:dyDescent="0.3">
      <c r="A18" s="13" t="s">
        <v>394</v>
      </c>
      <c r="B18" s="13" t="s">
        <v>392</v>
      </c>
      <c r="C18" s="13" t="s">
        <v>393</v>
      </c>
      <c r="D18" s="26" t="s">
        <v>66</v>
      </c>
      <c r="E18" s="27">
        <v>570</v>
      </c>
      <c r="F18" s="13" t="s">
        <v>650</v>
      </c>
      <c r="G18" s="27">
        <v>0</v>
      </c>
      <c r="H18" s="13" t="s">
        <v>51</v>
      </c>
      <c r="I18" s="27">
        <v>1659</v>
      </c>
      <c r="J18" s="13" t="s">
        <v>648</v>
      </c>
      <c r="K18" s="27">
        <v>0</v>
      </c>
      <c r="L18" s="13" t="s">
        <v>51</v>
      </c>
      <c r="M18" s="27">
        <v>0</v>
      </c>
      <c r="N18" s="13" t="s">
        <v>51</v>
      </c>
      <c r="O18" s="27">
        <f t="shared" si="0"/>
        <v>570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13" t="s">
        <v>660</v>
      </c>
      <c r="X18" s="13" t="s">
        <v>51</v>
      </c>
      <c r="Y18" s="1" t="s">
        <v>51</v>
      </c>
      <c r="Z18" s="1" t="s">
        <v>51</v>
      </c>
      <c r="AA18" s="28"/>
      <c r="AB18" s="1" t="s">
        <v>51</v>
      </c>
    </row>
    <row r="19" spans="1:28" ht="30" customHeight="1" x14ac:dyDescent="0.3">
      <c r="A19" s="13" t="s">
        <v>507</v>
      </c>
      <c r="B19" s="13" t="s">
        <v>176</v>
      </c>
      <c r="C19" s="13" t="s">
        <v>506</v>
      </c>
      <c r="D19" s="26" t="s">
        <v>66</v>
      </c>
      <c r="E19" s="27">
        <v>1953</v>
      </c>
      <c r="F19" s="13" t="s">
        <v>661</v>
      </c>
      <c r="G19" s="27">
        <v>2340</v>
      </c>
      <c r="H19" s="13" t="s">
        <v>638</v>
      </c>
      <c r="I19" s="27">
        <v>2230</v>
      </c>
      <c r="J19" s="13" t="s">
        <v>662</v>
      </c>
      <c r="K19" s="27">
        <v>0</v>
      </c>
      <c r="L19" s="13" t="s">
        <v>51</v>
      </c>
      <c r="M19" s="27">
        <v>0</v>
      </c>
      <c r="N19" s="13" t="s">
        <v>51</v>
      </c>
      <c r="O19" s="27">
        <f t="shared" si="0"/>
        <v>1953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13" t="s">
        <v>663</v>
      </c>
      <c r="X19" s="13" t="s">
        <v>51</v>
      </c>
      <c r="Y19" s="1" t="s">
        <v>51</v>
      </c>
      <c r="Z19" s="1" t="s">
        <v>51</v>
      </c>
      <c r="AA19" s="28"/>
      <c r="AB19" s="1" t="s">
        <v>51</v>
      </c>
    </row>
    <row r="20" spans="1:28" ht="30" customHeight="1" x14ac:dyDescent="0.3">
      <c r="A20" s="13" t="s">
        <v>479</v>
      </c>
      <c r="B20" s="13" t="s">
        <v>111</v>
      </c>
      <c r="C20" s="13" t="s">
        <v>478</v>
      </c>
      <c r="D20" s="26" t="s">
        <v>66</v>
      </c>
      <c r="E20" s="27">
        <v>1016</v>
      </c>
      <c r="F20" s="13" t="s">
        <v>664</v>
      </c>
      <c r="G20" s="27">
        <v>1000</v>
      </c>
      <c r="H20" s="13" t="s">
        <v>665</v>
      </c>
      <c r="I20" s="27">
        <v>1760</v>
      </c>
      <c r="J20" s="13" t="s">
        <v>666</v>
      </c>
      <c r="K20" s="27">
        <v>0</v>
      </c>
      <c r="L20" s="13" t="s">
        <v>51</v>
      </c>
      <c r="M20" s="27">
        <v>0</v>
      </c>
      <c r="N20" s="13" t="s">
        <v>51</v>
      </c>
      <c r="O20" s="27">
        <f t="shared" si="0"/>
        <v>1000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13" t="s">
        <v>667</v>
      </c>
      <c r="X20" s="13" t="s">
        <v>51</v>
      </c>
      <c r="Y20" s="1" t="s">
        <v>51</v>
      </c>
      <c r="Z20" s="1" t="s">
        <v>51</v>
      </c>
      <c r="AA20" s="28"/>
      <c r="AB20" s="1" t="s">
        <v>51</v>
      </c>
    </row>
    <row r="21" spans="1:28" ht="30" customHeight="1" x14ac:dyDescent="0.3">
      <c r="A21" s="13" t="s">
        <v>402</v>
      </c>
      <c r="B21" s="13" t="s">
        <v>111</v>
      </c>
      <c r="C21" s="13" t="s">
        <v>401</v>
      </c>
      <c r="D21" s="26" t="s">
        <v>66</v>
      </c>
      <c r="E21" s="27">
        <v>1211</v>
      </c>
      <c r="F21" s="13" t="s">
        <v>668</v>
      </c>
      <c r="G21" s="27">
        <v>1200</v>
      </c>
      <c r="H21" s="13" t="s">
        <v>665</v>
      </c>
      <c r="I21" s="27">
        <v>2640</v>
      </c>
      <c r="J21" s="13" t="s">
        <v>666</v>
      </c>
      <c r="K21" s="27">
        <v>0</v>
      </c>
      <c r="L21" s="13" t="s">
        <v>51</v>
      </c>
      <c r="M21" s="27">
        <v>0</v>
      </c>
      <c r="N21" s="13" t="s">
        <v>51</v>
      </c>
      <c r="O21" s="27">
        <f t="shared" si="0"/>
        <v>1200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13" t="s">
        <v>669</v>
      </c>
      <c r="X21" s="13" t="s">
        <v>51</v>
      </c>
      <c r="Y21" s="1" t="s">
        <v>51</v>
      </c>
      <c r="Z21" s="1" t="s">
        <v>51</v>
      </c>
      <c r="AA21" s="28"/>
      <c r="AB21" s="1" t="s">
        <v>51</v>
      </c>
    </row>
    <row r="22" spans="1:28" ht="30" customHeight="1" x14ac:dyDescent="0.3">
      <c r="A22" s="13" t="s">
        <v>312</v>
      </c>
      <c r="B22" s="13" t="s">
        <v>310</v>
      </c>
      <c r="C22" s="13" t="s">
        <v>311</v>
      </c>
      <c r="D22" s="26" t="s">
        <v>78</v>
      </c>
      <c r="E22" s="27">
        <v>0</v>
      </c>
      <c r="F22" s="13" t="s">
        <v>51</v>
      </c>
      <c r="G22" s="27">
        <v>0</v>
      </c>
      <c r="H22" s="13" t="s">
        <v>51</v>
      </c>
      <c r="I22" s="27">
        <v>110000</v>
      </c>
      <c r="J22" s="13" t="s">
        <v>670</v>
      </c>
      <c r="K22" s="27">
        <v>0</v>
      </c>
      <c r="L22" s="13" t="s">
        <v>51</v>
      </c>
      <c r="M22" s="27">
        <v>0</v>
      </c>
      <c r="N22" s="13" t="s">
        <v>51</v>
      </c>
      <c r="O22" s="27">
        <f t="shared" si="0"/>
        <v>110000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13" t="s">
        <v>671</v>
      </c>
      <c r="X22" s="13" t="s">
        <v>51</v>
      </c>
      <c r="Y22" s="1" t="s">
        <v>51</v>
      </c>
      <c r="Z22" s="1" t="s">
        <v>51</v>
      </c>
      <c r="AA22" s="28"/>
      <c r="AB22" s="1" t="s">
        <v>51</v>
      </c>
    </row>
    <row r="23" spans="1:28" ht="30" customHeight="1" x14ac:dyDescent="0.3">
      <c r="A23" s="13" t="s">
        <v>315</v>
      </c>
      <c r="B23" s="13" t="s">
        <v>310</v>
      </c>
      <c r="C23" s="13" t="s">
        <v>314</v>
      </c>
      <c r="D23" s="26" t="s">
        <v>78</v>
      </c>
      <c r="E23" s="27">
        <v>0</v>
      </c>
      <c r="F23" s="13" t="s">
        <v>51</v>
      </c>
      <c r="G23" s="27">
        <v>0</v>
      </c>
      <c r="H23" s="13" t="s">
        <v>51</v>
      </c>
      <c r="I23" s="27">
        <v>778000</v>
      </c>
      <c r="J23" s="13" t="s">
        <v>672</v>
      </c>
      <c r="K23" s="27">
        <v>0</v>
      </c>
      <c r="L23" s="13" t="s">
        <v>51</v>
      </c>
      <c r="M23" s="27">
        <v>0</v>
      </c>
      <c r="N23" s="13" t="s">
        <v>51</v>
      </c>
      <c r="O23" s="27">
        <f t="shared" si="0"/>
        <v>778000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13" t="s">
        <v>673</v>
      </c>
      <c r="X23" s="13" t="s">
        <v>51</v>
      </c>
      <c r="Y23" s="1" t="s">
        <v>51</v>
      </c>
      <c r="Z23" s="1" t="s">
        <v>51</v>
      </c>
      <c r="AA23" s="28"/>
      <c r="AB23" s="1" t="s">
        <v>51</v>
      </c>
    </row>
    <row r="24" spans="1:28" ht="30" customHeight="1" x14ac:dyDescent="0.3">
      <c r="A24" s="13" t="s">
        <v>556</v>
      </c>
      <c r="B24" s="13" t="s">
        <v>554</v>
      </c>
      <c r="C24" s="13" t="s">
        <v>555</v>
      </c>
      <c r="D24" s="26" t="s">
        <v>72</v>
      </c>
      <c r="E24" s="27">
        <v>0</v>
      </c>
      <c r="F24" s="13" t="s">
        <v>51</v>
      </c>
      <c r="G24" s="27">
        <v>1409</v>
      </c>
      <c r="H24" s="13" t="s">
        <v>674</v>
      </c>
      <c r="I24" s="27">
        <v>1167</v>
      </c>
      <c r="J24" s="13" t="s">
        <v>675</v>
      </c>
      <c r="K24" s="27">
        <v>0</v>
      </c>
      <c r="L24" s="13" t="s">
        <v>51</v>
      </c>
      <c r="M24" s="27">
        <v>0</v>
      </c>
      <c r="N24" s="13" t="s">
        <v>51</v>
      </c>
      <c r="O24" s="27">
        <f t="shared" si="0"/>
        <v>1167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13" t="s">
        <v>676</v>
      </c>
      <c r="X24" s="13" t="s">
        <v>51</v>
      </c>
      <c r="Y24" s="1" t="s">
        <v>51</v>
      </c>
      <c r="Z24" s="1" t="s">
        <v>51</v>
      </c>
      <c r="AA24" s="28"/>
      <c r="AB24" s="1" t="s">
        <v>51</v>
      </c>
    </row>
    <row r="25" spans="1:28" ht="30" customHeight="1" x14ac:dyDescent="0.3">
      <c r="A25" s="13" t="s">
        <v>564</v>
      </c>
      <c r="B25" s="13" t="s">
        <v>562</v>
      </c>
      <c r="C25" s="13" t="s">
        <v>563</v>
      </c>
      <c r="D25" s="26" t="s">
        <v>72</v>
      </c>
      <c r="E25" s="27">
        <v>0</v>
      </c>
      <c r="F25" s="13" t="s">
        <v>51</v>
      </c>
      <c r="G25" s="27">
        <v>33.200000000000003</v>
      </c>
      <c r="H25" s="13" t="s">
        <v>677</v>
      </c>
      <c r="I25" s="27">
        <v>25.1</v>
      </c>
      <c r="J25" s="13" t="s">
        <v>678</v>
      </c>
      <c r="K25" s="27">
        <v>0</v>
      </c>
      <c r="L25" s="13" t="s">
        <v>51</v>
      </c>
      <c r="M25" s="27">
        <v>0</v>
      </c>
      <c r="N25" s="13" t="s">
        <v>51</v>
      </c>
      <c r="O25" s="27">
        <f t="shared" si="0"/>
        <v>25.1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13" t="s">
        <v>679</v>
      </c>
      <c r="X25" s="13" t="s">
        <v>51</v>
      </c>
      <c r="Y25" s="1" t="s">
        <v>51</v>
      </c>
      <c r="Z25" s="1" t="s">
        <v>51</v>
      </c>
      <c r="AA25" s="28"/>
      <c r="AB25" s="1" t="s">
        <v>51</v>
      </c>
    </row>
    <row r="26" spans="1:28" ht="30" customHeight="1" x14ac:dyDescent="0.3">
      <c r="A26" s="13" t="s">
        <v>568</v>
      </c>
      <c r="B26" s="13" t="s">
        <v>566</v>
      </c>
      <c r="C26" s="13" t="s">
        <v>567</v>
      </c>
      <c r="D26" s="26" t="s">
        <v>72</v>
      </c>
      <c r="E26" s="27">
        <v>0</v>
      </c>
      <c r="F26" s="13" t="s">
        <v>51</v>
      </c>
      <c r="G26" s="27">
        <v>10.98</v>
      </c>
      <c r="H26" s="13" t="s">
        <v>680</v>
      </c>
      <c r="I26" s="27">
        <v>9.1999999999999993</v>
      </c>
      <c r="J26" s="13" t="s">
        <v>675</v>
      </c>
      <c r="K26" s="27">
        <v>0</v>
      </c>
      <c r="L26" s="13" t="s">
        <v>51</v>
      </c>
      <c r="M26" s="27">
        <v>0</v>
      </c>
      <c r="N26" s="13" t="s">
        <v>51</v>
      </c>
      <c r="O26" s="27">
        <f t="shared" si="0"/>
        <v>9.1999999999999993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13" t="s">
        <v>681</v>
      </c>
      <c r="X26" s="13" t="s">
        <v>51</v>
      </c>
      <c r="Y26" s="1" t="s">
        <v>51</v>
      </c>
      <c r="Z26" s="1" t="s">
        <v>51</v>
      </c>
      <c r="AA26" s="28"/>
      <c r="AB26" s="1" t="s">
        <v>51</v>
      </c>
    </row>
    <row r="27" spans="1:28" ht="30" customHeight="1" x14ac:dyDescent="0.3">
      <c r="A27" s="13" t="s">
        <v>560</v>
      </c>
      <c r="B27" s="13" t="s">
        <v>558</v>
      </c>
      <c r="C27" s="13" t="s">
        <v>559</v>
      </c>
      <c r="D27" s="26" t="s">
        <v>72</v>
      </c>
      <c r="E27" s="27">
        <v>0</v>
      </c>
      <c r="F27" s="13" t="s">
        <v>51</v>
      </c>
      <c r="G27" s="27">
        <v>120</v>
      </c>
      <c r="H27" s="13" t="s">
        <v>682</v>
      </c>
      <c r="I27" s="27">
        <v>200</v>
      </c>
      <c r="J27" s="13" t="s">
        <v>683</v>
      </c>
      <c r="K27" s="27">
        <v>0</v>
      </c>
      <c r="L27" s="13" t="s">
        <v>51</v>
      </c>
      <c r="M27" s="27">
        <v>0</v>
      </c>
      <c r="N27" s="13" t="s">
        <v>51</v>
      </c>
      <c r="O27" s="27">
        <f t="shared" si="0"/>
        <v>120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13" t="s">
        <v>684</v>
      </c>
      <c r="X27" s="13" t="s">
        <v>51</v>
      </c>
      <c r="Y27" s="1" t="s">
        <v>51</v>
      </c>
      <c r="Z27" s="1" t="s">
        <v>51</v>
      </c>
      <c r="AA27" s="28"/>
      <c r="AB27" s="1" t="s">
        <v>51</v>
      </c>
    </row>
    <row r="28" spans="1:28" ht="30" customHeight="1" x14ac:dyDescent="0.3">
      <c r="A28" s="13" t="s">
        <v>305</v>
      </c>
      <c r="B28" s="13" t="s">
        <v>303</v>
      </c>
      <c r="C28" s="13" t="s">
        <v>304</v>
      </c>
      <c r="D28" s="26" t="s">
        <v>72</v>
      </c>
      <c r="E28" s="27">
        <v>2856</v>
      </c>
      <c r="F28" s="13" t="s">
        <v>685</v>
      </c>
      <c r="G28" s="27">
        <v>3870</v>
      </c>
      <c r="H28" s="13" t="s">
        <v>686</v>
      </c>
      <c r="I28" s="27">
        <v>3360</v>
      </c>
      <c r="J28" s="13" t="s">
        <v>687</v>
      </c>
      <c r="K28" s="27">
        <v>0</v>
      </c>
      <c r="L28" s="13" t="s">
        <v>51</v>
      </c>
      <c r="M28" s="27">
        <v>0</v>
      </c>
      <c r="N28" s="13" t="s">
        <v>51</v>
      </c>
      <c r="O28" s="27">
        <f t="shared" si="0"/>
        <v>2856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13" t="s">
        <v>688</v>
      </c>
      <c r="X28" s="13" t="s">
        <v>51</v>
      </c>
      <c r="Y28" s="1" t="s">
        <v>51</v>
      </c>
      <c r="Z28" s="1" t="s">
        <v>51</v>
      </c>
      <c r="AA28" s="28"/>
      <c r="AB28" s="1" t="s">
        <v>51</v>
      </c>
    </row>
    <row r="29" spans="1:28" ht="30" customHeight="1" x14ac:dyDescent="0.3">
      <c r="A29" s="13" t="s">
        <v>440</v>
      </c>
      <c r="B29" s="13" t="s">
        <v>129</v>
      </c>
      <c r="C29" s="13" t="s">
        <v>439</v>
      </c>
      <c r="D29" s="26" t="s">
        <v>72</v>
      </c>
      <c r="E29" s="27">
        <v>591</v>
      </c>
      <c r="F29" s="13" t="s">
        <v>689</v>
      </c>
      <c r="G29" s="27">
        <v>650</v>
      </c>
      <c r="H29" s="13" t="s">
        <v>686</v>
      </c>
      <c r="I29" s="27">
        <v>700</v>
      </c>
      <c r="J29" s="13" t="s">
        <v>687</v>
      </c>
      <c r="K29" s="27">
        <v>0</v>
      </c>
      <c r="L29" s="13" t="s">
        <v>51</v>
      </c>
      <c r="M29" s="27">
        <v>0</v>
      </c>
      <c r="N29" s="13" t="s">
        <v>51</v>
      </c>
      <c r="O29" s="27">
        <f t="shared" si="0"/>
        <v>591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13" t="s">
        <v>690</v>
      </c>
      <c r="X29" s="13" t="s">
        <v>51</v>
      </c>
      <c r="Y29" s="1" t="s">
        <v>51</v>
      </c>
      <c r="Z29" s="1" t="s">
        <v>51</v>
      </c>
      <c r="AA29" s="28"/>
      <c r="AB29" s="1" t="s">
        <v>51</v>
      </c>
    </row>
    <row r="30" spans="1:28" ht="30" customHeight="1" x14ac:dyDescent="0.3">
      <c r="A30" s="13" t="s">
        <v>447</v>
      </c>
      <c r="B30" s="13" t="s">
        <v>445</v>
      </c>
      <c r="C30" s="13" t="s">
        <v>446</v>
      </c>
      <c r="D30" s="26" t="s">
        <v>72</v>
      </c>
      <c r="E30" s="27">
        <v>0</v>
      </c>
      <c r="F30" s="13" t="s">
        <v>51</v>
      </c>
      <c r="G30" s="27">
        <v>3100</v>
      </c>
      <c r="H30" s="13" t="s">
        <v>686</v>
      </c>
      <c r="I30" s="27">
        <v>3480</v>
      </c>
      <c r="J30" s="13" t="s">
        <v>687</v>
      </c>
      <c r="K30" s="27">
        <v>0</v>
      </c>
      <c r="L30" s="13" t="s">
        <v>51</v>
      </c>
      <c r="M30" s="27">
        <v>0</v>
      </c>
      <c r="N30" s="13" t="s">
        <v>51</v>
      </c>
      <c r="O30" s="27">
        <f t="shared" si="0"/>
        <v>3100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13" t="s">
        <v>691</v>
      </c>
      <c r="X30" s="13" t="s">
        <v>51</v>
      </c>
      <c r="Y30" s="1" t="s">
        <v>51</v>
      </c>
      <c r="Z30" s="1" t="s">
        <v>51</v>
      </c>
      <c r="AA30" s="28"/>
      <c r="AB30" s="1" t="s">
        <v>51</v>
      </c>
    </row>
    <row r="31" spans="1:28" ht="30" customHeight="1" x14ac:dyDescent="0.3">
      <c r="A31" s="13" t="s">
        <v>87</v>
      </c>
      <c r="B31" s="13" t="s">
        <v>85</v>
      </c>
      <c r="C31" s="13" t="s">
        <v>86</v>
      </c>
      <c r="D31" s="26" t="s">
        <v>72</v>
      </c>
      <c r="E31" s="27">
        <v>0</v>
      </c>
      <c r="F31" s="13" t="s">
        <v>51</v>
      </c>
      <c r="G31" s="27">
        <v>400</v>
      </c>
      <c r="H31" s="13" t="s">
        <v>686</v>
      </c>
      <c r="I31" s="27">
        <v>343</v>
      </c>
      <c r="J31" s="13" t="s">
        <v>687</v>
      </c>
      <c r="K31" s="27">
        <v>0</v>
      </c>
      <c r="L31" s="13" t="s">
        <v>51</v>
      </c>
      <c r="M31" s="27">
        <v>0</v>
      </c>
      <c r="N31" s="13" t="s">
        <v>51</v>
      </c>
      <c r="O31" s="27">
        <f t="shared" si="0"/>
        <v>343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13" t="s">
        <v>692</v>
      </c>
      <c r="X31" s="13" t="s">
        <v>51</v>
      </c>
      <c r="Y31" s="1" t="s">
        <v>51</v>
      </c>
      <c r="Z31" s="1" t="s">
        <v>51</v>
      </c>
      <c r="AA31" s="28"/>
      <c r="AB31" s="1" t="s">
        <v>51</v>
      </c>
    </row>
    <row r="32" spans="1:28" ht="30" customHeight="1" x14ac:dyDescent="0.3">
      <c r="A32" s="13" t="s">
        <v>275</v>
      </c>
      <c r="B32" s="13" t="s">
        <v>273</v>
      </c>
      <c r="C32" s="13" t="s">
        <v>274</v>
      </c>
      <c r="D32" s="26" t="s">
        <v>72</v>
      </c>
      <c r="E32" s="27">
        <v>21707</v>
      </c>
      <c r="F32" s="13" t="s">
        <v>693</v>
      </c>
      <c r="G32" s="27">
        <v>0</v>
      </c>
      <c r="H32" s="13" t="s">
        <v>51</v>
      </c>
      <c r="I32" s="27">
        <v>0</v>
      </c>
      <c r="J32" s="13" t="s">
        <v>51</v>
      </c>
      <c r="K32" s="27">
        <v>0</v>
      </c>
      <c r="L32" s="13" t="s">
        <v>51</v>
      </c>
      <c r="M32" s="27">
        <v>0</v>
      </c>
      <c r="N32" s="13" t="s">
        <v>51</v>
      </c>
      <c r="O32" s="27">
        <f t="shared" si="0"/>
        <v>21707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13" t="s">
        <v>694</v>
      </c>
      <c r="X32" s="13" t="s">
        <v>51</v>
      </c>
      <c r="Y32" s="1" t="s">
        <v>51</v>
      </c>
      <c r="Z32" s="1" t="s">
        <v>51</v>
      </c>
      <c r="AA32" s="28"/>
      <c r="AB32" s="1" t="s">
        <v>51</v>
      </c>
    </row>
    <row r="33" spans="1:28" ht="30" customHeight="1" x14ac:dyDescent="0.3">
      <c r="A33" s="13" t="s">
        <v>278</v>
      </c>
      <c r="B33" s="13" t="s">
        <v>273</v>
      </c>
      <c r="C33" s="13" t="s">
        <v>277</v>
      </c>
      <c r="D33" s="26" t="s">
        <v>72</v>
      </c>
      <c r="E33" s="27">
        <v>2470</v>
      </c>
      <c r="F33" s="13" t="s">
        <v>695</v>
      </c>
      <c r="G33" s="27">
        <v>0</v>
      </c>
      <c r="H33" s="13" t="s">
        <v>51</v>
      </c>
      <c r="I33" s="27">
        <v>0</v>
      </c>
      <c r="J33" s="13" t="s">
        <v>51</v>
      </c>
      <c r="K33" s="27">
        <v>0</v>
      </c>
      <c r="L33" s="13" t="s">
        <v>51</v>
      </c>
      <c r="M33" s="27">
        <v>0</v>
      </c>
      <c r="N33" s="13" t="s">
        <v>51</v>
      </c>
      <c r="O33" s="27">
        <f t="shared" si="0"/>
        <v>2470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13" t="s">
        <v>696</v>
      </c>
      <c r="X33" s="13" t="s">
        <v>51</v>
      </c>
      <c r="Y33" s="1" t="s">
        <v>51</v>
      </c>
      <c r="Z33" s="1" t="s">
        <v>51</v>
      </c>
      <c r="AA33" s="28"/>
      <c r="AB33" s="1" t="s">
        <v>51</v>
      </c>
    </row>
    <row r="34" spans="1:28" ht="30" customHeight="1" x14ac:dyDescent="0.3">
      <c r="A34" s="13" t="s">
        <v>487</v>
      </c>
      <c r="B34" s="13" t="s">
        <v>160</v>
      </c>
      <c r="C34" s="13" t="s">
        <v>486</v>
      </c>
      <c r="D34" s="26" t="s">
        <v>72</v>
      </c>
      <c r="E34" s="27">
        <v>2728</v>
      </c>
      <c r="F34" s="13" t="s">
        <v>697</v>
      </c>
      <c r="G34" s="27">
        <v>3960</v>
      </c>
      <c r="H34" s="13" t="s">
        <v>698</v>
      </c>
      <c r="I34" s="27">
        <v>0</v>
      </c>
      <c r="J34" s="13" t="s">
        <v>51</v>
      </c>
      <c r="K34" s="27">
        <v>0</v>
      </c>
      <c r="L34" s="13" t="s">
        <v>51</v>
      </c>
      <c r="M34" s="27">
        <v>0</v>
      </c>
      <c r="N34" s="13" t="s">
        <v>51</v>
      </c>
      <c r="O34" s="27">
        <f t="shared" si="0"/>
        <v>2728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13" t="s">
        <v>699</v>
      </c>
      <c r="X34" s="13" t="s">
        <v>51</v>
      </c>
      <c r="Y34" s="1" t="s">
        <v>51</v>
      </c>
      <c r="Z34" s="1" t="s">
        <v>51</v>
      </c>
      <c r="AA34" s="28"/>
      <c r="AB34" s="1" t="s">
        <v>51</v>
      </c>
    </row>
    <row r="35" spans="1:28" ht="30" customHeight="1" x14ac:dyDescent="0.3">
      <c r="A35" s="13" t="s">
        <v>585</v>
      </c>
      <c r="B35" s="13" t="s">
        <v>583</v>
      </c>
      <c r="C35" s="13" t="s">
        <v>584</v>
      </c>
      <c r="D35" s="26" t="s">
        <v>72</v>
      </c>
      <c r="E35" s="27">
        <v>3316</v>
      </c>
      <c r="F35" s="13" t="s">
        <v>700</v>
      </c>
      <c r="G35" s="27">
        <v>5780</v>
      </c>
      <c r="H35" s="13" t="s">
        <v>701</v>
      </c>
      <c r="I35" s="27">
        <v>6500</v>
      </c>
      <c r="J35" s="13" t="s">
        <v>702</v>
      </c>
      <c r="K35" s="27">
        <v>0</v>
      </c>
      <c r="L35" s="13" t="s">
        <v>51</v>
      </c>
      <c r="M35" s="27">
        <v>0</v>
      </c>
      <c r="N35" s="13" t="s">
        <v>51</v>
      </c>
      <c r="O35" s="27">
        <f t="shared" si="0"/>
        <v>3316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13" t="s">
        <v>703</v>
      </c>
      <c r="X35" s="13" t="s">
        <v>51</v>
      </c>
      <c r="Y35" s="1" t="s">
        <v>51</v>
      </c>
      <c r="Z35" s="1" t="s">
        <v>51</v>
      </c>
      <c r="AA35" s="28"/>
      <c r="AB35" s="1" t="s">
        <v>51</v>
      </c>
    </row>
    <row r="36" spans="1:28" ht="30" customHeight="1" x14ac:dyDescent="0.3">
      <c r="A36" s="13" t="s">
        <v>545</v>
      </c>
      <c r="B36" s="13" t="s">
        <v>543</v>
      </c>
      <c r="C36" s="13" t="s">
        <v>544</v>
      </c>
      <c r="D36" s="26" t="s">
        <v>66</v>
      </c>
      <c r="E36" s="27">
        <v>18041</v>
      </c>
      <c r="F36" s="13" t="s">
        <v>704</v>
      </c>
      <c r="G36" s="27">
        <v>29850</v>
      </c>
      <c r="H36" s="13" t="s">
        <v>705</v>
      </c>
      <c r="I36" s="27">
        <v>30730</v>
      </c>
      <c r="J36" s="13" t="s">
        <v>706</v>
      </c>
      <c r="K36" s="27">
        <v>0</v>
      </c>
      <c r="L36" s="13" t="s">
        <v>51</v>
      </c>
      <c r="M36" s="27">
        <v>0</v>
      </c>
      <c r="N36" s="13" t="s">
        <v>51</v>
      </c>
      <c r="O36" s="27">
        <f t="shared" si="0"/>
        <v>18041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13" t="s">
        <v>707</v>
      </c>
      <c r="X36" s="13" t="s">
        <v>51</v>
      </c>
      <c r="Y36" s="1" t="s">
        <v>51</v>
      </c>
      <c r="Z36" s="1" t="s">
        <v>51</v>
      </c>
      <c r="AA36" s="28"/>
      <c r="AB36" s="1" t="s">
        <v>51</v>
      </c>
    </row>
    <row r="37" spans="1:28" ht="30" customHeight="1" x14ac:dyDescent="0.3">
      <c r="A37" s="13" t="s">
        <v>199</v>
      </c>
      <c r="B37" s="13" t="s">
        <v>197</v>
      </c>
      <c r="C37" s="13" t="s">
        <v>198</v>
      </c>
      <c r="D37" s="26" t="s">
        <v>66</v>
      </c>
      <c r="E37" s="27">
        <v>1006</v>
      </c>
      <c r="F37" s="13" t="s">
        <v>708</v>
      </c>
      <c r="G37" s="27">
        <v>1680</v>
      </c>
      <c r="H37" s="13" t="s">
        <v>709</v>
      </c>
      <c r="I37" s="27">
        <v>2640</v>
      </c>
      <c r="J37" s="13" t="s">
        <v>706</v>
      </c>
      <c r="K37" s="27">
        <v>0</v>
      </c>
      <c r="L37" s="13" t="s">
        <v>51</v>
      </c>
      <c r="M37" s="27">
        <v>0</v>
      </c>
      <c r="N37" s="13" t="s">
        <v>51</v>
      </c>
      <c r="O37" s="27">
        <f t="shared" si="0"/>
        <v>1006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13" t="s">
        <v>710</v>
      </c>
      <c r="X37" s="13" t="s">
        <v>51</v>
      </c>
      <c r="Y37" s="1" t="s">
        <v>51</v>
      </c>
      <c r="Z37" s="1" t="s">
        <v>51</v>
      </c>
      <c r="AA37" s="28"/>
      <c r="AB37" s="1" t="s">
        <v>51</v>
      </c>
    </row>
    <row r="38" spans="1:28" ht="30" customHeight="1" x14ac:dyDescent="0.3">
      <c r="A38" s="13" t="s">
        <v>208</v>
      </c>
      <c r="B38" s="13" t="s">
        <v>206</v>
      </c>
      <c r="C38" s="13" t="s">
        <v>207</v>
      </c>
      <c r="D38" s="26" t="s">
        <v>66</v>
      </c>
      <c r="E38" s="27">
        <v>77</v>
      </c>
      <c r="F38" s="13" t="s">
        <v>711</v>
      </c>
      <c r="G38" s="27">
        <v>210</v>
      </c>
      <c r="H38" s="13" t="s">
        <v>709</v>
      </c>
      <c r="I38" s="27">
        <v>200</v>
      </c>
      <c r="J38" s="13" t="s">
        <v>706</v>
      </c>
      <c r="K38" s="27">
        <v>0</v>
      </c>
      <c r="L38" s="13" t="s">
        <v>51</v>
      </c>
      <c r="M38" s="27">
        <v>0</v>
      </c>
      <c r="N38" s="13" t="s">
        <v>51</v>
      </c>
      <c r="O38" s="27">
        <f t="shared" ref="O38:O56" si="1">SMALL(E38:M38,COUNTIF(E38:M38,0)+1)</f>
        <v>77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13" t="s">
        <v>712</v>
      </c>
      <c r="X38" s="13" t="s">
        <v>51</v>
      </c>
      <c r="Y38" s="1" t="s">
        <v>51</v>
      </c>
      <c r="Z38" s="1" t="s">
        <v>51</v>
      </c>
      <c r="AA38" s="28"/>
      <c r="AB38" s="1" t="s">
        <v>51</v>
      </c>
    </row>
    <row r="39" spans="1:28" ht="30" customHeight="1" x14ac:dyDescent="0.3">
      <c r="A39" s="13" t="s">
        <v>212</v>
      </c>
      <c r="B39" s="13" t="s">
        <v>210</v>
      </c>
      <c r="C39" s="13" t="s">
        <v>211</v>
      </c>
      <c r="D39" s="26" t="s">
        <v>66</v>
      </c>
      <c r="E39" s="27">
        <v>2536</v>
      </c>
      <c r="F39" s="13" t="s">
        <v>713</v>
      </c>
      <c r="G39" s="27">
        <v>2800</v>
      </c>
      <c r="H39" s="13" t="s">
        <v>714</v>
      </c>
      <c r="I39" s="27">
        <v>4840</v>
      </c>
      <c r="J39" s="13" t="s">
        <v>706</v>
      </c>
      <c r="K39" s="27">
        <v>0</v>
      </c>
      <c r="L39" s="13" t="s">
        <v>51</v>
      </c>
      <c r="M39" s="27">
        <v>0</v>
      </c>
      <c r="N39" s="13" t="s">
        <v>51</v>
      </c>
      <c r="O39" s="27">
        <f t="shared" si="1"/>
        <v>2536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13" t="s">
        <v>715</v>
      </c>
      <c r="X39" s="13" t="s">
        <v>51</v>
      </c>
      <c r="Y39" s="1" t="s">
        <v>51</v>
      </c>
      <c r="Z39" s="1" t="s">
        <v>51</v>
      </c>
      <c r="AA39" s="28"/>
      <c r="AB39" s="1" t="s">
        <v>51</v>
      </c>
    </row>
    <row r="40" spans="1:28" ht="30" customHeight="1" x14ac:dyDescent="0.3">
      <c r="A40" s="13" t="s">
        <v>552</v>
      </c>
      <c r="B40" s="13" t="s">
        <v>550</v>
      </c>
      <c r="C40" s="13" t="s">
        <v>551</v>
      </c>
      <c r="D40" s="26" t="s">
        <v>66</v>
      </c>
      <c r="E40" s="27">
        <v>6176</v>
      </c>
      <c r="F40" s="13" t="s">
        <v>716</v>
      </c>
      <c r="G40" s="27">
        <v>9100</v>
      </c>
      <c r="H40" s="13" t="s">
        <v>709</v>
      </c>
      <c r="I40" s="27">
        <v>12630</v>
      </c>
      <c r="J40" s="13" t="s">
        <v>706</v>
      </c>
      <c r="K40" s="27">
        <v>0</v>
      </c>
      <c r="L40" s="13" t="s">
        <v>51</v>
      </c>
      <c r="M40" s="27">
        <v>0</v>
      </c>
      <c r="N40" s="13" t="s">
        <v>51</v>
      </c>
      <c r="O40" s="27">
        <f t="shared" si="1"/>
        <v>6176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13" t="s">
        <v>717</v>
      </c>
      <c r="X40" s="13" t="s">
        <v>51</v>
      </c>
      <c r="Y40" s="1" t="s">
        <v>51</v>
      </c>
      <c r="Z40" s="1" t="s">
        <v>51</v>
      </c>
      <c r="AA40" s="28"/>
      <c r="AB40" s="1" t="s">
        <v>51</v>
      </c>
    </row>
    <row r="41" spans="1:28" ht="30" customHeight="1" x14ac:dyDescent="0.3">
      <c r="A41" s="13" t="s">
        <v>571</v>
      </c>
      <c r="B41" s="13" t="s">
        <v>550</v>
      </c>
      <c r="C41" s="13" t="s">
        <v>570</v>
      </c>
      <c r="D41" s="26" t="s">
        <v>66</v>
      </c>
      <c r="E41" s="27">
        <v>0</v>
      </c>
      <c r="F41" s="13" t="s">
        <v>51</v>
      </c>
      <c r="G41" s="27">
        <v>4700</v>
      </c>
      <c r="H41" s="13" t="s">
        <v>705</v>
      </c>
      <c r="I41" s="27">
        <v>4500</v>
      </c>
      <c r="J41" s="13" t="s">
        <v>706</v>
      </c>
      <c r="K41" s="27">
        <v>0</v>
      </c>
      <c r="L41" s="13" t="s">
        <v>51</v>
      </c>
      <c r="M41" s="27">
        <v>0</v>
      </c>
      <c r="N41" s="13" t="s">
        <v>51</v>
      </c>
      <c r="O41" s="27">
        <f t="shared" si="1"/>
        <v>4500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13" t="s">
        <v>718</v>
      </c>
      <c r="X41" s="13" t="s">
        <v>51</v>
      </c>
      <c r="Y41" s="1" t="s">
        <v>51</v>
      </c>
      <c r="Z41" s="1" t="s">
        <v>51</v>
      </c>
      <c r="AA41" s="28"/>
      <c r="AB41" s="1" t="s">
        <v>51</v>
      </c>
    </row>
    <row r="42" spans="1:28" ht="30" customHeight="1" x14ac:dyDescent="0.3">
      <c r="A42" s="13" t="s">
        <v>368</v>
      </c>
      <c r="B42" s="13" t="s">
        <v>64</v>
      </c>
      <c r="C42" s="13" t="s">
        <v>367</v>
      </c>
      <c r="D42" s="26" t="s">
        <v>66</v>
      </c>
      <c r="E42" s="27">
        <v>700</v>
      </c>
      <c r="F42" s="13" t="s">
        <v>719</v>
      </c>
      <c r="G42" s="27">
        <v>1010</v>
      </c>
      <c r="H42" s="13" t="s">
        <v>720</v>
      </c>
      <c r="I42" s="27">
        <v>1021</v>
      </c>
      <c r="J42" s="13" t="s">
        <v>721</v>
      </c>
      <c r="K42" s="27">
        <v>0</v>
      </c>
      <c r="L42" s="13" t="s">
        <v>51</v>
      </c>
      <c r="M42" s="27">
        <v>0</v>
      </c>
      <c r="N42" s="13" t="s">
        <v>51</v>
      </c>
      <c r="O42" s="27">
        <f t="shared" si="1"/>
        <v>700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13" t="s">
        <v>722</v>
      </c>
      <c r="X42" s="13" t="s">
        <v>51</v>
      </c>
      <c r="Y42" s="1" t="s">
        <v>51</v>
      </c>
      <c r="Z42" s="1" t="s">
        <v>51</v>
      </c>
      <c r="AA42" s="28"/>
      <c r="AB42" s="1" t="s">
        <v>51</v>
      </c>
    </row>
    <row r="43" spans="1:28" ht="30" customHeight="1" x14ac:dyDescent="0.3">
      <c r="A43" s="13" t="s">
        <v>376</v>
      </c>
      <c r="B43" s="13" t="s">
        <v>64</v>
      </c>
      <c r="C43" s="13" t="s">
        <v>375</v>
      </c>
      <c r="D43" s="26" t="s">
        <v>66</v>
      </c>
      <c r="E43" s="27">
        <v>1246</v>
      </c>
      <c r="F43" s="13" t="s">
        <v>723</v>
      </c>
      <c r="G43" s="27">
        <v>1880</v>
      </c>
      <c r="H43" s="13" t="s">
        <v>720</v>
      </c>
      <c r="I43" s="27">
        <v>1794</v>
      </c>
      <c r="J43" s="13" t="s">
        <v>721</v>
      </c>
      <c r="K43" s="27">
        <v>0</v>
      </c>
      <c r="L43" s="13" t="s">
        <v>51</v>
      </c>
      <c r="M43" s="27">
        <v>0</v>
      </c>
      <c r="N43" s="13" t="s">
        <v>51</v>
      </c>
      <c r="O43" s="27">
        <f t="shared" si="1"/>
        <v>1246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13" t="s">
        <v>724</v>
      </c>
      <c r="X43" s="13" t="s">
        <v>51</v>
      </c>
      <c r="Y43" s="1" t="s">
        <v>51</v>
      </c>
      <c r="Z43" s="1" t="s">
        <v>51</v>
      </c>
      <c r="AA43" s="28"/>
      <c r="AB43" s="1" t="s">
        <v>51</v>
      </c>
    </row>
    <row r="44" spans="1:28" ht="30" customHeight="1" x14ac:dyDescent="0.3">
      <c r="A44" s="13" t="s">
        <v>286</v>
      </c>
      <c r="B44" s="13" t="s">
        <v>64</v>
      </c>
      <c r="C44" s="13" t="s">
        <v>285</v>
      </c>
      <c r="D44" s="26" t="s">
        <v>66</v>
      </c>
      <c r="E44" s="27">
        <v>1852</v>
      </c>
      <c r="F44" s="13" t="s">
        <v>725</v>
      </c>
      <c r="G44" s="27">
        <v>2670</v>
      </c>
      <c r="H44" s="13" t="s">
        <v>720</v>
      </c>
      <c r="I44" s="27">
        <v>2546</v>
      </c>
      <c r="J44" s="13" t="s">
        <v>721</v>
      </c>
      <c r="K44" s="27">
        <v>0</v>
      </c>
      <c r="L44" s="13" t="s">
        <v>51</v>
      </c>
      <c r="M44" s="27">
        <v>0</v>
      </c>
      <c r="N44" s="13" t="s">
        <v>51</v>
      </c>
      <c r="O44" s="27">
        <f t="shared" si="1"/>
        <v>1852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13" t="s">
        <v>726</v>
      </c>
      <c r="X44" s="13" t="s">
        <v>51</v>
      </c>
      <c r="Y44" s="1" t="s">
        <v>51</v>
      </c>
      <c r="Z44" s="1" t="s">
        <v>51</v>
      </c>
      <c r="AA44" s="28"/>
      <c r="AB44" s="1" t="s">
        <v>51</v>
      </c>
    </row>
    <row r="45" spans="1:28" ht="30" customHeight="1" x14ac:dyDescent="0.3">
      <c r="A45" s="13" t="s">
        <v>415</v>
      </c>
      <c r="B45" s="13" t="s">
        <v>413</v>
      </c>
      <c r="C45" s="13" t="s">
        <v>414</v>
      </c>
      <c r="D45" s="26" t="s">
        <v>66</v>
      </c>
      <c r="E45" s="27">
        <v>170</v>
      </c>
      <c r="F45" s="13" t="s">
        <v>727</v>
      </c>
      <c r="G45" s="27">
        <v>160</v>
      </c>
      <c r="H45" s="13" t="s">
        <v>728</v>
      </c>
      <c r="I45" s="27">
        <v>278</v>
      </c>
      <c r="J45" s="13" t="s">
        <v>721</v>
      </c>
      <c r="K45" s="27">
        <v>0</v>
      </c>
      <c r="L45" s="13" t="s">
        <v>51</v>
      </c>
      <c r="M45" s="27">
        <v>0</v>
      </c>
      <c r="N45" s="13" t="s">
        <v>51</v>
      </c>
      <c r="O45" s="27">
        <f t="shared" si="1"/>
        <v>160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13" t="s">
        <v>729</v>
      </c>
      <c r="X45" s="13" t="s">
        <v>51</v>
      </c>
      <c r="Y45" s="1" t="s">
        <v>51</v>
      </c>
      <c r="Z45" s="1" t="s">
        <v>51</v>
      </c>
      <c r="AA45" s="28"/>
      <c r="AB45" s="1" t="s">
        <v>51</v>
      </c>
    </row>
    <row r="46" spans="1:28" ht="30" customHeight="1" x14ac:dyDescent="0.3">
      <c r="A46" s="13" t="s">
        <v>424</v>
      </c>
      <c r="B46" s="13" t="s">
        <v>413</v>
      </c>
      <c r="C46" s="13" t="s">
        <v>423</v>
      </c>
      <c r="D46" s="26" t="s">
        <v>66</v>
      </c>
      <c r="E46" s="27">
        <v>255</v>
      </c>
      <c r="F46" s="13" t="s">
        <v>730</v>
      </c>
      <c r="G46" s="27">
        <v>240</v>
      </c>
      <c r="H46" s="13" t="s">
        <v>728</v>
      </c>
      <c r="I46" s="27">
        <v>416</v>
      </c>
      <c r="J46" s="13" t="s">
        <v>721</v>
      </c>
      <c r="K46" s="27">
        <v>0</v>
      </c>
      <c r="L46" s="13" t="s">
        <v>51</v>
      </c>
      <c r="M46" s="27">
        <v>0</v>
      </c>
      <c r="N46" s="13" t="s">
        <v>51</v>
      </c>
      <c r="O46" s="27">
        <f t="shared" si="1"/>
        <v>240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13" t="s">
        <v>731</v>
      </c>
      <c r="X46" s="13" t="s">
        <v>51</v>
      </c>
      <c r="Y46" s="1" t="s">
        <v>51</v>
      </c>
      <c r="Z46" s="1" t="s">
        <v>51</v>
      </c>
      <c r="AA46" s="28"/>
      <c r="AB46" s="1" t="s">
        <v>51</v>
      </c>
    </row>
    <row r="47" spans="1:28" ht="30" customHeight="1" x14ac:dyDescent="0.3">
      <c r="A47" s="13" t="s">
        <v>432</v>
      </c>
      <c r="B47" s="13" t="s">
        <v>413</v>
      </c>
      <c r="C47" s="13" t="s">
        <v>431</v>
      </c>
      <c r="D47" s="26" t="s">
        <v>66</v>
      </c>
      <c r="E47" s="27">
        <v>348</v>
      </c>
      <c r="F47" s="13" t="s">
        <v>732</v>
      </c>
      <c r="G47" s="27">
        <v>330</v>
      </c>
      <c r="H47" s="13" t="s">
        <v>728</v>
      </c>
      <c r="I47" s="27">
        <v>556</v>
      </c>
      <c r="J47" s="13" t="s">
        <v>721</v>
      </c>
      <c r="K47" s="27">
        <v>0</v>
      </c>
      <c r="L47" s="13" t="s">
        <v>51</v>
      </c>
      <c r="M47" s="27">
        <v>0</v>
      </c>
      <c r="N47" s="13" t="s">
        <v>51</v>
      </c>
      <c r="O47" s="27">
        <f t="shared" si="1"/>
        <v>330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13" t="s">
        <v>733</v>
      </c>
      <c r="X47" s="13" t="s">
        <v>51</v>
      </c>
      <c r="Y47" s="1" t="s">
        <v>51</v>
      </c>
      <c r="Z47" s="1" t="s">
        <v>51</v>
      </c>
      <c r="AA47" s="28"/>
      <c r="AB47" s="1" t="s">
        <v>51</v>
      </c>
    </row>
    <row r="48" spans="1:28" ht="30" customHeight="1" x14ac:dyDescent="0.3">
      <c r="A48" s="13" t="s">
        <v>385</v>
      </c>
      <c r="B48" s="13" t="s">
        <v>101</v>
      </c>
      <c r="C48" s="13" t="s">
        <v>384</v>
      </c>
      <c r="D48" s="26" t="s">
        <v>72</v>
      </c>
      <c r="E48" s="27">
        <v>690</v>
      </c>
      <c r="F48" s="13" t="s">
        <v>734</v>
      </c>
      <c r="G48" s="27">
        <v>720</v>
      </c>
      <c r="H48" s="13" t="s">
        <v>735</v>
      </c>
      <c r="I48" s="27">
        <v>544</v>
      </c>
      <c r="J48" s="13" t="s">
        <v>736</v>
      </c>
      <c r="K48" s="27">
        <v>0</v>
      </c>
      <c r="L48" s="13" t="s">
        <v>51</v>
      </c>
      <c r="M48" s="27">
        <v>0</v>
      </c>
      <c r="N48" s="13" t="s">
        <v>51</v>
      </c>
      <c r="O48" s="27">
        <f t="shared" si="1"/>
        <v>544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13" t="s">
        <v>737</v>
      </c>
      <c r="X48" s="13" t="s">
        <v>51</v>
      </c>
      <c r="Y48" s="1" t="s">
        <v>51</v>
      </c>
      <c r="Z48" s="1" t="s">
        <v>51</v>
      </c>
      <c r="AA48" s="28"/>
      <c r="AB48" s="1" t="s">
        <v>51</v>
      </c>
    </row>
    <row r="49" spans="1:28" ht="30" customHeight="1" x14ac:dyDescent="0.3">
      <c r="A49" s="13" t="s">
        <v>95</v>
      </c>
      <c r="B49" s="13" t="s">
        <v>93</v>
      </c>
      <c r="C49" s="13" t="s">
        <v>94</v>
      </c>
      <c r="D49" s="26" t="s">
        <v>72</v>
      </c>
      <c r="E49" s="27">
        <v>407</v>
      </c>
      <c r="F49" s="13" t="s">
        <v>738</v>
      </c>
      <c r="G49" s="27">
        <v>340</v>
      </c>
      <c r="H49" s="13" t="s">
        <v>735</v>
      </c>
      <c r="I49" s="27">
        <v>346</v>
      </c>
      <c r="J49" s="13" t="s">
        <v>736</v>
      </c>
      <c r="K49" s="27">
        <v>0</v>
      </c>
      <c r="L49" s="13" t="s">
        <v>51</v>
      </c>
      <c r="M49" s="27">
        <v>0</v>
      </c>
      <c r="N49" s="13" t="s">
        <v>51</v>
      </c>
      <c r="O49" s="27">
        <f t="shared" si="1"/>
        <v>340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13" t="s">
        <v>739</v>
      </c>
      <c r="X49" s="13" t="s">
        <v>51</v>
      </c>
      <c r="Y49" s="1" t="s">
        <v>51</v>
      </c>
      <c r="Z49" s="1" t="s">
        <v>51</v>
      </c>
      <c r="AA49" s="28"/>
      <c r="AB49" s="1" t="s">
        <v>51</v>
      </c>
    </row>
    <row r="50" spans="1:28" ht="30" customHeight="1" x14ac:dyDescent="0.3">
      <c r="A50" s="13" t="s">
        <v>268</v>
      </c>
      <c r="B50" s="13" t="s">
        <v>266</v>
      </c>
      <c r="C50" s="13" t="s">
        <v>267</v>
      </c>
      <c r="D50" s="26" t="s">
        <v>72</v>
      </c>
      <c r="E50" s="27">
        <v>13381</v>
      </c>
      <c r="F50" s="13" t="s">
        <v>740</v>
      </c>
      <c r="G50" s="27">
        <v>13860</v>
      </c>
      <c r="H50" s="13" t="s">
        <v>741</v>
      </c>
      <c r="I50" s="27">
        <v>0</v>
      </c>
      <c r="J50" s="13" t="s">
        <v>51</v>
      </c>
      <c r="K50" s="27">
        <v>0</v>
      </c>
      <c r="L50" s="13" t="s">
        <v>51</v>
      </c>
      <c r="M50" s="27">
        <v>0</v>
      </c>
      <c r="N50" s="13" t="s">
        <v>51</v>
      </c>
      <c r="O50" s="27">
        <f t="shared" si="1"/>
        <v>13381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13" t="s">
        <v>742</v>
      </c>
      <c r="X50" s="13" t="s">
        <v>51</v>
      </c>
      <c r="Y50" s="1" t="s">
        <v>51</v>
      </c>
      <c r="Z50" s="1" t="s">
        <v>51</v>
      </c>
      <c r="AA50" s="28"/>
      <c r="AB50" s="1" t="s">
        <v>51</v>
      </c>
    </row>
    <row r="51" spans="1:28" ht="30" customHeight="1" x14ac:dyDescent="0.3">
      <c r="A51" s="13" t="s">
        <v>271</v>
      </c>
      <c r="B51" s="13" t="s">
        <v>266</v>
      </c>
      <c r="C51" s="13" t="s">
        <v>270</v>
      </c>
      <c r="D51" s="26" t="s">
        <v>72</v>
      </c>
      <c r="E51" s="27">
        <v>2976</v>
      </c>
      <c r="F51" s="13" t="s">
        <v>743</v>
      </c>
      <c r="G51" s="27">
        <v>4950</v>
      </c>
      <c r="H51" s="13" t="s">
        <v>744</v>
      </c>
      <c r="I51" s="27">
        <v>0</v>
      </c>
      <c r="J51" s="13" t="s">
        <v>51</v>
      </c>
      <c r="K51" s="27">
        <v>0</v>
      </c>
      <c r="L51" s="13" t="s">
        <v>51</v>
      </c>
      <c r="M51" s="27">
        <v>0</v>
      </c>
      <c r="N51" s="13" t="s">
        <v>51</v>
      </c>
      <c r="O51" s="27">
        <f t="shared" si="1"/>
        <v>2976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13" t="s">
        <v>745</v>
      </c>
      <c r="X51" s="13" t="s">
        <v>51</v>
      </c>
      <c r="Y51" s="1" t="s">
        <v>51</v>
      </c>
      <c r="Z51" s="1" t="s">
        <v>51</v>
      </c>
      <c r="AA51" s="28"/>
      <c r="AB51" s="1" t="s">
        <v>51</v>
      </c>
    </row>
    <row r="52" spans="1:28" ht="30" customHeight="1" x14ac:dyDescent="0.3">
      <c r="A52" s="13" t="s">
        <v>237</v>
      </c>
      <c r="B52" s="13" t="s">
        <v>236</v>
      </c>
      <c r="C52" s="13" t="s">
        <v>51</v>
      </c>
      <c r="D52" s="26" t="s">
        <v>229</v>
      </c>
      <c r="E52" s="27">
        <v>0</v>
      </c>
      <c r="F52" s="13" t="s">
        <v>51</v>
      </c>
      <c r="G52" s="27">
        <v>0</v>
      </c>
      <c r="H52" s="13" t="s">
        <v>51</v>
      </c>
      <c r="I52" s="27">
        <v>0</v>
      </c>
      <c r="J52" s="13" t="s">
        <v>51</v>
      </c>
      <c r="K52" s="27">
        <v>0</v>
      </c>
      <c r="L52" s="13" t="s">
        <v>51</v>
      </c>
      <c r="M52" s="27">
        <v>27949000</v>
      </c>
      <c r="N52" s="13" t="s">
        <v>51</v>
      </c>
      <c r="O52" s="27">
        <f t="shared" si="1"/>
        <v>27949000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13" t="s">
        <v>746</v>
      </c>
      <c r="X52" s="13" t="s">
        <v>51</v>
      </c>
      <c r="Y52" s="1" t="s">
        <v>51</v>
      </c>
      <c r="Z52" s="1" t="s">
        <v>51</v>
      </c>
      <c r="AA52" s="28"/>
      <c r="AB52" s="1" t="s">
        <v>51</v>
      </c>
    </row>
    <row r="53" spans="1:28" ht="30" customHeight="1" x14ac:dyDescent="0.3">
      <c r="A53" s="13" t="s">
        <v>230</v>
      </c>
      <c r="B53" s="13" t="s">
        <v>228</v>
      </c>
      <c r="C53" s="13" t="s">
        <v>51</v>
      </c>
      <c r="D53" s="26" t="s">
        <v>229</v>
      </c>
      <c r="E53" s="27">
        <v>0</v>
      </c>
      <c r="F53" s="13" t="s">
        <v>51</v>
      </c>
      <c r="G53" s="27">
        <v>0</v>
      </c>
      <c r="H53" s="13" t="s">
        <v>51</v>
      </c>
      <c r="I53" s="27">
        <v>0</v>
      </c>
      <c r="J53" s="13" t="s">
        <v>51</v>
      </c>
      <c r="K53" s="27">
        <v>0</v>
      </c>
      <c r="L53" s="13" t="s">
        <v>51</v>
      </c>
      <c r="M53" s="27">
        <v>38073200</v>
      </c>
      <c r="N53" s="13" t="s">
        <v>51</v>
      </c>
      <c r="O53" s="27">
        <f t="shared" si="1"/>
        <v>38073200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13" t="s">
        <v>747</v>
      </c>
      <c r="X53" s="13" t="s">
        <v>51</v>
      </c>
      <c r="Y53" s="1" t="s">
        <v>51</v>
      </c>
      <c r="Z53" s="1" t="s">
        <v>51</v>
      </c>
      <c r="AA53" s="28"/>
      <c r="AB53" s="1" t="s">
        <v>51</v>
      </c>
    </row>
    <row r="54" spans="1:28" ht="30" customHeight="1" x14ac:dyDescent="0.3">
      <c r="A54" s="13" t="s">
        <v>330</v>
      </c>
      <c r="B54" s="13" t="s">
        <v>326</v>
      </c>
      <c r="C54" s="13" t="s">
        <v>327</v>
      </c>
      <c r="D54" s="26" t="s">
        <v>328</v>
      </c>
      <c r="E54" s="27">
        <v>293</v>
      </c>
      <c r="F54" s="13" t="s">
        <v>51</v>
      </c>
      <c r="G54" s="27">
        <v>0</v>
      </c>
      <c r="H54" s="13" t="s">
        <v>51</v>
      </c>
      <c r="I54" s="27">
        <v>0</v>
      </c>
      <c r="J54" s="13" t="s">
        <v>51</v>
      </c>
      <c r="K54" s="27">
        <v>0</v>
      </c>
      <c r="L54" s="13" t="s">
        <v>51</v>
      </c>
      <c r="M54" s="27">
        <v>0</v>
      </c>
      <c r="N54" s="13" t="s">
        <v>51</v>
      </c>
      <c r="O54" s="27">
        <f t="shared" si="1"/>
        <v>293</v>
      </c>
      <c r="P54" s="27">
        <v>5073</v>
      </c>
      <c r="Q54" s="27">
        <v>271</v>
      </c>
      <c r="R54" s="27">
        <v>0</v>
      </c>
      <c r="S54" s="27">
        <v>0</v>
      </c>
      <c r="T54" s="27">
        <v>0</v>
      </c>
      <c r="U54" s="27">
        <v>0</v>
      </c>
      <c r="V54" s="27">
        <f>SMALL(Q54:U54,COUNTIF(Q54:U54,0)+1)</f>
        <v>271</v>
      </c>
      <c r="W54" s="13" t="s">
        <v>748</v>
      </c>
      <c r="X54" s="13" t="s">
        <v>51</v>
      </c>
      <c r="Y54" s="1" t="s">
        <v>749</v>
      </c>
      <c r="Z54" s="1" t="s">
        <v>51</v>
      </c>
      <c r="AA54" s="28"/>
      <c r="AB54" s="1" t="s">
        <v>51</v>
      </c>
    </row>
    <row r="55" spans="1:28" ht="30" customHeight="1" x14ac:dyDescent="0.3">
      <c r="A55" s="13" t="s">
        <v>338</v>
      </c>
      <c r="B55" s="13" t="s">
        <v>336</v>
      </c>
      <c r="C55" s="13" t="s">
        <v>337</v>
      </c>
      <c r="D55" s="26" t="s">
        <v>328</v>
      </c>
      <c r="E55" s="27">
        <v>163</v>
      </c>
      <c r="F55" s="13" t="s">
        <v>51</v>
      </c>
      <c r="G55" s="27">
        <v>0</v>
      </c>
      <c r="H55" s="13" t="s">
        <v>51</v>
      </c>
      <c r="I55" s="27">
        <v>0</v>
      </c>
      <c r="J55" s="13" t="s">
        <v>51</v>
      </c>
      <c r="K55" s="27">
        <v>0</v>
      </c>
      <c r="L55" s="13" t="s">
        <v>51</v>
      </c>
      <c r="M55" s="27">
        <v>0</v>
      </c>
      <c r="N55" s="13" t="s">
        <v>51</v>
      </c>
      <c r="O55" s="27">
        <f t="shared" si="1"/>
        <v>163</v>
      </c>
      <c r="P55" s="27">
        <v>141</v>
      </c>
      <c r="Q55" s="27">
        <v>152</v>
      </c>
      <c r="R55" s="27">
        <v>0</v>
      </c>
      <c r="S55" s="27">
        <v>0</v>
      </c>
      <c r="T55" s="27">
        <v>0</v>
      </c>
      <c r="U55" s="27">
        <v>0</v>
      </c>
      <c r="V55" s="27">
        <f>SMALL(Q55:U55,COUNTIF(Q55:U55,0)+1)</f>
        <v>152</v>
      </c>
      <c r="W55" s="13" t="s">
        <v>750</v>
      </c>
      <c r="X55" s="13" t="s">
        <v>51</v>
      </c>
      <c r="Y55" s="1" t="s">
        <v>749</v>
      </c>
      <c r="Z55" s="1" t="s">
        <v>51</v>
      </c>
      <c r="AA55" s="28"/>
      <c r="AB55" s="1" t="s">
        <v>51</v>
      </c>
    </row>
    <row r="56" spans="1:28" ht="30" customHeight="1" x14ac:dyDescent="0.3">
      <c r="A56" s="13" t="s">
        <v>334</v>
      </c>
      <c r="B56" s="13" t="s">
        <v>332</v>
      </c>
      <c r="C56" s="13" t="s">
        <v>333</v>
      </c>
      <c r="D56" s="26" t="s">
        <v>328</v>
      </c>
      <c r="E56" s="27">
        <v>341</v>
      </c>
      <c r="F56" s="13" t="s">
        <v>51</v>
      </c>
      <c r="G56" s="27">
        <v>0</v>
      </c>
      <c r="H56" s="13" t="s">
        <v>51</v>
      </c>
      <c r="I56" s="27">
        <v>0</v>
      </c>
      <c r="J56" s="13" t="s">
        <v>51</v>
      </c>
      <c r="K56" s="27">
        <v>0</v>
      </c>
      <c r="L56" s="13" t="s">
        <v>51</v>
      </c>
      <c r="M56" s="27">
        <v>0</v>
      </c>
      <c r="N56" s="13" t="s">
        <v>51</v>
      </c>
      <c r="O56" s="27">
        <f t="shared" si="1"/>
        <v>341</v>
      </c>
      <c r="P56" s="27">
        <v>6332</v>
      </c>
      <c r="Q56" s="27">
        <v>210</v>
      </c>
      <c r="R56" s="27">
        <v>0</v>
      </c>
      <c r="S56" s="27">
        <v>0</v>
      </c>
      <c r="T56" s="27">
        <v>0</v>
      </c>
      <c r="U56" s="27">
        <v>0</v>
      </c>
      <c r="V56" s="27">
        <f>SMALL(Q56:U56,COUNTIF(Q56:U56,0)+1)</f>
        <v>210</v>
      </c>
      <c r="W56" s="13" t="s">
        <v>751</v>
      </c>
      <c r="X56" s="13" t="s">
        <v>51</v>
      </c>
      <c r="Y56" s="1" t="s">
        <v>749</v>
      </c>
      <c r="Z56" s="1" t="s">
        <v>51</v>
      </c>
      <c r="AA56" s="28"/>
      <c r="AB56" s="1" t="s">
        <v>51</v>
      </c>
    </row>
    <row r="57" spans="1:28" ht="30" customHeight="1" x14ac:dyDescent="0.3">
      <c r="A57" s="13" t="s">
        <v>360</v>
      </c>
      <c r="B57" s="13" t="s">
        <v>359</v>
      </c>
      <c r="C57" s="13" t="s">
        <v>296</v>
      </c>
      <c r="D57" s="26" t="s">
        <v>297</v>
      </c>
      <c r="E57" s="27">
        <v>0</v>
      </c>
      <c r="F57" s="13" t="s">
        <v>51</v>
      </c>
      <c r="G57" s="27">
        <v>0</v>
      </c>
      <c r="H57" s="13" t="s">
        <v>51</v>
      </c>
      <c r="I57" s="27">
        <v>0</v>
      </c>
      <c r="J57" s="13" t="s">
        <v>51</v>
      </c>
      <c r="K57" s="27">
        <v>0</v>
      </c>
      <c r="L57" s="13" t="s">
        <v>51</v>
      </c>
      <c r="M57" s="27">
        <v>0</v>
      </c>
      <c r="N57" s="13" t="s">
        <v>51</v>
      </c>
      <c r="O57" s="27">
        <v>0</v>
      </c>
      <c r="P57" s="27">
        <v>215907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13" t="s">
        <v>752</v>
      </c>
      <c r="X57" s="13" t="s">
        <v>51</v>
      </c>
      <c r="Y57" s="1" t="s">
        <v>753</v>
      </c>
      <c r="Z57" s="1" t="s">
        <v>51</v>
      </c>
      <c r="AA57" s="28"/>
      <c r="AB57" s="1" t="s">
        <v>51</v>
      </c>
    </row>
    <row r="58" spans="1:28" ht="30" customHeight="1" x14ac:dyDescent="0.3">
      <c r="A58" s="13" t="s">
        <v>406</v>
      </c>
      <c r="B58" s="13" t="s">
        <v>405</v>
      </c>
      <c r="C58" s="13" t="s">
        <v>296</v>
      </c>
      <c r="D58" s="26" t="s">
        <v>297</v>
      </c>
      <c r="E58" s="27">
        <v>0</v>
      </c>
      <c r="F58" s="13" t="s">
        <v>51</v>
      </c>
      <c r="G58" s="27">
        <v>0</v>
      </c>
      <c r="H58" s="13" t="s">
        <v>51</v>
      </c>
      <c r="I58" s="27">
        <v>0</v>
      </c>
      <c r="J58" s="13" t="s">
        <v>51</v>
      </c>
      <c r="K58" s="27">
        <v>0</v>
      </c>
      <c r="L58" s="13" t="s">
        <v>51</v>
      </c>
      <c r="M58" s="27">
        <v>0</v>
      </c>
      <c r="N58" s="13" t="s">
        <v>51</v>
      </c>
      <c r="O58" s="27">
        <v>0</v>
      </c>
      <c r="P58" s="27">
        <v>172068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13" t="s">
        <v>754</v>
      </c>
      <c r="X58" s="13" t="s">
        <v>51</v>
      </c>
      <c r="Y58" s="1" t="s">
        <v>753</v>
      </c>
      <c r="Z58" s="1" t="s">
        <v>51</v>
      </c>
      <c r="AA58" s="28"/>
      <c r="AB58" s="1" t="s">
        <v>51</v>
      </c>
    </row>
    <row r="59" spans="1:28" ht="30" customHeight="1" x14ac:dyDescent="0.3">
      <c r="A59" s="13" t="s">
        <v>354</v>
      </c>
      <c r="B59" s="13" t="s">
        <v>352</v>
      </c>
      <c r="C59" s="13" t="s">
        <v>296</v>
      </c>
      <c r="D59" s="26" t="s">
        <v>297</v>
      </c>
      <c r="E59" s="27">
        <v>0</v>
      </c>
      <c r="F59" s="13" t="s">
        <v>51</v>
      </c>
      <c r="G59" s="27">
        <v>0</v>
      </c>
      <c r="H59" s="13" t="s">
        <v>51</v>
      </c>
      <c r="I59" s="27">
        <v>0</v>
      </c>
      <c r="J59" s="13" t="s">
        <v>51</v>
      </c>
      <c r="K59" s="27">
        <v>0</v>
      </c>
      <c r="L59" s="13" t="s">
        <v>51</v>
      </c>
      <c r="M59" s="27">
        <v>0</v>
      </c>
      <c r="N59" s="13" t="s">
        <v>51</v>
      </c>
      <c r="O59" s="27">
        <v>0</v>
      </c>
      <c r="P59" s="27">
        <v>226122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13" t="s">
        <v>755</v>
      </c>
      <c r="X59" s="13" t="s">
        <v>51</v>
      </c>
      <c r="Y59" s="1" t="s">
        <v>753</v>
      </c>
      <c r="Z59" s="1" t="s">
        <v>51</v>
      </c>
      <c r="AA59" s="28"/>
      <c r="AB59" s="1" t="s">
        <v>51</v>
      </c>
    </row>
    <row r="60" spans="1:28" ht="30" customHeight="1" x14ac:dyDescent="0.3">
      <c r="A60" s="13" t="s">
        <v>357</v>
      </c>
      <c r="B60" s="13" t="s">
        <v>356</v>
      </c>
      <c r="C60" s="13" t="s">
        <v>296</v>
      </c>
      <c r="D60" s="26" t="s">
        <v>297</v>
      </c>
      <c r="E60" s="27">
        <v>0</v>
      </c>
      <c r="F60" s="13" t="s">
        <v>51</v>
      </c>
      <c r="G60" s="27">
        <v>0</v>
      </c>
      <c r="H60" s="13" t="s">
        <v>51</v>
      </c>
      <c r="I60" s="27">
        <v>0</v>
      </c>
      <c r="J60" s="13" t="s">
        <v>51</v>
      </c>
      <c r="K60" s="27">
        <v>0</v>
      </c>
      <c r="L60" s="13" t="s">
        <v>51</v>
      </c>
      <c r="M60" s="27">
        <v>0</v>
      </c>
      <c r="N60" s="13" t="s">
        <v>51</v>
      </c>
      <c r="O60" s="27">
        <v>0</v>
      </c>
      <c r="P60" s="27">
        <v>281939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13" t="s">
        <v>756</v>
      </c>
      <c r="X60" s="13" t="s">
        <v>51</v>
      </c>
      <c r="Y60" s="1" t="s">
        <v>753</v>
      </c>
      <c r="Z60" s="1" t="s">
        <v>51</v>
      </c>
      <c r="AA60" s="28"/>
      <c r="AB60" s="1" t="s">
        <v>51</v>
      </c>
    </row>
    <row r="61" spans="1:28" ht="30" customHeight="1" x14ac:dyDescent="0.3">
      <c r="A61" s="13" t="s">
        <v>363</v>
      </c>
      <c r="B61" s="13" t="s">
        <v>362</v>
      </c>
      <c r="C61" s="13" t="s">
        <v>296</v>
      </c>
      <c r="D61" s="26" t="s">
        <v>297</v>
      </c>
      <c r="E61" s="27">
        <v>0</v>
      </c>
      <c r="F61" s="13" t="s">
        <v>51</v>
      </c>
      <c r="G61" s="27">
        <v>0</v>
      </c>
      <c r="H61" s="13" t="s">
        <v>51</v>
      </c>
      <c r="I61" s="27">
        <v>0</v>
      </c>
      <c r="J61" s="13" t="s">
        <v>51</v>
      </c>
      <c r="K61" s="27">
        <v>0</v>
      </c>
      <c r="L61" s="13" t="s">
        <v>51</v>
      </c>
      <c r="M61" s="27">
        <v>0</v>
      </c>
      <c r="N61" s="13" t="s">
        <v>51</v>
      </c>
      <c r="O61" s="27">
        <v>0</v>
      </c>
      <c r="P61" s="27">
        <v>211653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13" t="s">
        <v>757</v>
      </c>
      <c r="X61" s="13" t="s">
        <v>51</v>
      </c>
      <c r="Y61" s="1" t="s">
        <v>753</v>
      </c>
      <c r="Z61" s="1" t="s">
        <v>51</v>
      </c>
      <c r="AA61" s="28"/>
      <c r="AB61" s="1" t="s">
        <v>51</v>
      </c>
    </row>
    <row r="62" spans="1:28" ht="30" customHeight="1" x14ac:dyDescent="0.3">
      <c r="A62" s="13" t="s">
        <v>606</v>
      </c>
      <c r="B62" s="13" t="s">
        <v>605</v>
      </c>
      <c r="C62" s="13" t="s">
        <v>296</v>
      </c>
      <c r="D62" s="26" t="s">
        <v>297</v>
      </c>
      <c r="E62" s="27">
        <v>0</v>
      </c>
      <c r="F62" s="13" t="s">
        <v>51</v>
      </c>
      <c r="G62" s="27">
        <v>0</v>
      </c>
      <c r="H62" s="13" t="s">
        <v>51</v>
      </c>
      <c r="I62" s="27">
        <v>0</v>
      </c>
      <c r="J62" s="13" t="s">
        <v>51</v>
      </c>
      <c r="K62" s="27">
        <v>0</v>
      </c>
      <c r="L62" s="13" t="s">
        <v>51</v>
      </c>
      <c r="M62" s="27">
        <v>0</v>
      </c>
      <c r="N62" s="13" t="s">
        <v>51</v>
      </c>
      <c r="O62" s="27">
        <v>0</v>
      </c>
      <c r="P62" s="27">
        <v>238936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13" t="s">
        <v>758</v>
      </c>
      <c r="X62" s="13" t="s">
        <v>51</v>
      </c>
      <c r="Y62" s="1" t="s">
        <v>753</v>
      </c>
      <c r="Z62" s="1" t="s">
        <v>51</v>
      </c>
      <c r="AA62" s="28"/>
      <c r="AB62" s="1" t="s">
        <v>51</v>
      </c>
    </row>
    <row r="63" spans="1:28" ht="30" customHeight="1" x14ac:dyDescent="0.3">
      <c r="A63" s="13" t="s">
        <v>298</v>
      </c>
      <c r="B63" s="13" t="s">
        <v>295</v>
      </c>
      <c r="C63" s="13" t="s">
        <v>296</v>
      </c>
      <c r="D63" s="26" t="s">
        <v>297</v>
      </c>
      <c r="E63" s="27">
        <v>0</v>
      </c>
      <c r="F63" s="13" t="s">
        <v>51</v>
      </c>
      <c r="G63" s="27">
        <v>0</v>
      </c>
      <c r="H63" s="13" t="s">
        <v>51</v>
      </c>
      <c r="I63" s="27">
        <v>0</v>
      </c>
      <c r="J63" s="13" t="s">
        <v>51</v>
      </c>
      <c r="K63" s="27">
        <v>0</v>
      </c>
      <c r="L63" s="13" t="s">
        <v>51</v>
      </c>
      <c r="M63" s="27">
        <v>0</v>
      </c>
      <c r="N63" s="13" t="s">
        <v>51</v>
      </c>
      <c r="O63" s="27">
        <v>0</v>
      </c>
      <c r="P63" s="27">
        <v>284880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13" t="s">
        <v>759</v>
      </c>
      <c r="X63" s="13" t="s">
        <v>51</v>
      </c>
      <c r="Y63" s="1" t="s">
        <v>753</v>
      </c>
      <c r="Z63" s="1" t="s">
        <v>51</v>
      </c>
      <c r="AA63" s="28"/>
      <c r="AB63" s="1" t="s">
        <v>51</v>
      </c>
    </row>
    <row r="64" spans="1:28" ht="30" customHeight="1" x14ac:dyDescent="0.3">
      <c r="A64" s="13" t="s">
        <v>409</v>
      </c>
      <c r="B64" s="13" t="s">
        <v>408</v>
      </c>
      <c r="C64" s="13" t="s">
        <v>296</v>
      </c>
      <c r="D64" s="26" t="s">
        <v>297</v>
      </c>
      <c r="E64" s="27">
        <v>0</v>
      </c>
      <c r="F64" s="13" t="s">
        <v>51</v>
      </c>
      <c r="G64" s="27">
        <v>0</v>
      </c>
      <c r="H64" s="13" t="s">
        <v>51</v>
      </c>
      <c r="I64" s="27">
        <v>0</v>
      </c>
      <c r="J64" s="13" t="s">
        <v>51</v>
      </c>
      <c r="K64" s="27">
        <v>0</v>
      </c>
      <c r="L64" s="13" t="s">
        <v>51</v>
      </c>
      <c r="M64" s="27">
        <v>0</v>
      </c>
      <c r="N64" s="13" t="s">
        <v>51</v>
      </c>
      <c r="O64" s="27">
        <v>0</v>
      </c>
      <c r="P64" s="27">
        <v>408942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13" t="s">
        <v>760</v>
      </c>
      <c r="X64" s="13" t="s">
        <v>51</v>
      </c>
      <c r="Y64" s="1" t="s">
        <v>753</v>
      </c>
      <c r="Z64" s="1" t="s">
        <v>51</v>
      </c>
      <c r="AA64" s="28"/>
      <c r="AB64" s="1" t="s">
        <v>51</v>
      </c>
    </row>
    <row r="65" spans="1:28" ht="30" customHeight="1" x14ac:dyDescent="0.3">
      <c r="A65" s="13" t="s">
        <v>398</v>
      </c>
      <c r="B65" s="13" t="s">
        <v>397</v>
      </c>
      <c r="C65" s="13" t="s">
        <v>296</v>
      </c>
      <c r="D65" s="26" t="s">
        <v>297</v>
      </c>
      <c r="E65" s="27">
        <v>0</v>
      </c>
      <c r="F65" s="13" t="s">
        <v>51</v>
      </c>
      <c r="G65" s="27">
        <v>0</v>
      </c>
      <c r="H65" s="13" t="s">
        <v>51</v>
      </c>
      <c r="I65" s="27">
        <v>0</v>
      </c>
      <c r="J65" s="13" t="s">
        <v>51</v>
      </c>
      <c r="K65" s="27">
        <v>0</v>
      </c>
      <c r="L65" s="13" t="s">
        <v>51</v>
      </c>
      <c r="M65" s="27">
        <v>0</v>
      </c>
      <c r="N65" s="13" t="s">
        <v>51</v>
      </c>
      <c r="O65" s="27">
        <v>0</v>
      </c>
      <c r="P65" s="27">
        <v>436224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13" t="s">
        <v>761</v>
      </c>
      <c r="X65" s="13" t="s">
        <v>51</v>
      </c>
      <c r="Y65" s="1" t="s">
        <v>753</v>
      </c>
      <c r="Z65" s="1" t="s">
        <v>51</v>
      </c>
      <c r="AA65" s="28"/>
      <c r="AB65" s="1" t="s">
        <v>51</v>
      </c>
    </row>
    <row r="66" spans="1:28" ht="30" customHeight="1" x14ac:dyDescent="0.3">
      <c r="A66" s="13" t="s">
        <v>242</v>
      </c>
      <c r="B66" s="13" t="s">
        <v>239</v>
      </c>
      <c r="C66" s="13" t="s">
        <v>51</v>
      </c>
      <c r="D66" s="26" t="s">
        <v>229</v>
      </c>
      <c r="E66" s="27">
        <v>0</v>
      </c>
      <c r="F66" s="13" t="s">
        <v>51</v>
      </c>
      <c r="G66" s="27">
        <v>0</v>
      </c>
      <c r="H66" s="13" t="s">
        <v>51</v>
      </c>
      <c r="I66" s="27">
        <v>0</v>
      </c>
      <c r="J66" s="13" t="s">
        <v>51</v>
      </c>
      <c r="K66" s="27">
        <v>0</v>
      </c>
      <c r="L66" s="13" t="s">
        <v>51</v>
      </c>
      <c r="M66" s="27">
        <v>2640000</v>
      </c>
      <c r="N66" s="13" t="s">
        <v>51</v>
      </c>
      <c r="O66" s="27">
        <f>SMALL(E66:M66,COUNTIF(E66:M66,0)+1)</f>
        <v>2640000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13" t="s">
        <v>762</v>
      </c>
      <c r="X66" s="13" t="s">
        <v>51</v>
      </c>
      <c r="Y66" s="1" t="s">
        <v>51</v>
      </c>
      <c r="Z66" s="1" t="s">
        <v>51</v>
      </c>
      <c r="AA66" s="28"/>
      <c r="AB66" s="1" t="s">
        <v>51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4FD47-D797-44B9-99AC-7EBA3C59D016}">
  <dimension ref="A1:D72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256</v>
      </c>
      <c r="B1" t="s">
        <v>763</v>
      </c>
      <c r="C1" t="s">
        <v>764</v>
      </c>
      <c r="D1" t="s">
        <v>765</v>
      </c>
    </row>
    <row r="2" spans="1:4" x14ac:dyDescent="0.3">
      <c r="A2" s="1" t="s">
        <v>766</v>
      </c>
      <c r="B2">
        <v>100</v>
      </c>
      <c r="D2" s="1" t="s">
        <v>60</v>
      </c>
    </row>
    <row r="3" spans="1:4" x14ac:dyDescent="0.3">
      <c r="A3" s="1" t="s">
        <v>767</v>
      </c>
      <c r="B3">
        <v>100</v>
      </c>
      <c r="D3" s="1" t="s">
        <v>68</v>
      </c>
    </row>
    <row r="4" spans="1:4" x14ac:dyDescent="0.3">
      <c r="A4" t="s">
        <v>768</v>
      </c>
      <c r="C4">
        <v>3</v>
      </c>
      <c r="D4" s="1" t="s">
        <v>299</v>
      </c>
    </row>
    <row r="5" spans="1:4" x14ac:dyDescent="0.3">
      <c r="A5" s="1" t="s">
        <v>769</v>
      </c>
      <c r="B5">
        <v>100</v>
      </c>
      <c r="D5" s="1" t="s">
        <v>74</v>
      </c>
    </row>
    <row r="6" spans="1:4" x14ac:dyDescent="0.3">
      <c r="A6" t="s">
        <v>768</v>
      </c>
      <c r="C6">
        <v>2</v>
      </c>
      <c r="D6" s="1" t="s">
        <v>307</v>
      </c>
    </row>
    <row r="7" spans="1:4" x14ac:dyDescent="0.3">
      <c r="A7" s="1" t="s">
        <v>770</v>
      </c>
      <c r="B7">
        <v>100</v>
      </c>
      <c r="D7" s="1" t="s">
        <v>80</v>
      </c>
    </row>
    <row r="8" spans="1:4" x14ac:dyDescent="0.3">
      <c r="A8" t="s">
        <v>771</v>
      </c>
      <c r="C8">
        <v>1</v>
      </c>
      <c r="D8" s="1" t="s">
        <v>355</v>
      </c>
    </row>
    <row r="9" spans="1:4" x14ac:dyDescent="0.3">
      <c r="A9" t="s">
        <v>772</v>
      </c>
      <c r="C9">
        <v>2</v>
      </c>
      <c r="D9" s="1" t="s">
        <v>358</v>
      </c>
    </row>
    <row r="10" spans="1:4" x14ac:dyDescent="0.3">
      <c r="A10" t="s">
        <v>773</v>
      </c>
      <c r="C10">
        <v>2</v>
      </c>
      <c r="D10" s="1" t="s">
        <v>361</v>
      </c>
    </row>
    <row r="11" spans="1:4" x14ac:dyDescent="0.3">
      <c r="A11" t="s">
        <v>774</v>
      </c>
      <c r="C11">
        <v>2</v>
      </c>
      <c r="D11" s="1" t="s">
        <v>364</v>
      </c>
    </row>
    <row r="12" spans="1:4" x14ac:dyDescent="0.3">
      <c r="A12" s="1" t="s">
        <v>775</v>
      </c>
      <c r="B12">
        <v>100</v>
      </c>
      <c r="D12" s="1" t="s">
        <v>91</v>
      </c>
    </row>
    <row r="13" spans="1:4" x14ac:dyDescent="0.3">
      <c r="A13" t="s">
        <v>768</v>
      </c>
      <c r="C13">
        <v>3</v>
      </c>
      <c r="D13" s="1" t="s">
        <v>372</v>
      </c>
    </row>
    <row r="14" spans="1:4" x14ac:dyDescent="0.3">
      <c r="A14" s="1" t="s">
        <v>776</v>
      </c>
      <c r="B14">
        <v>100</v>
      </c>
      <c r="D14" s="1" t="s">
        <v>99</v>
      </c>
    </row>
    <row r="15" spans="1:4" x14ac:dyDescent="0.3">
      <c r="A15" t="s">
        <v>768</v>
      </c>
      <c r="C15">
        <v>3</v>
      </c>
      <c r="D15" s="1" t="s">
        <v>380</v>
      </c>
    </row>
    <row r="16" spans="1:4" x14ac:dyDescent="0.3">
      <c r="A16" s="1" t="s">
        <v>777</v>
      </c>
      <c r="B16">
        <v>100</v>
      </c>
      <c r="D16" s="1" t="s">
        <v>104</v>
      </c>
    </row>
    <row r="17" spans="1:4" x14ac:dyDescent="0.3">
      <c r="A17" t="s">
        <v>768</v>
      </c>
      <c r="C17">
        <v>4</v>
      </c>
      <c r="D17" s="1" t="s">
        <v>389</v>
      </c>
    </row>
    <row r="18" spans="1:4" x14ac:dyDescent="0.3">
      <c r="A18" s="1" t="s">
        <v>778</v>
      </c>
      <c r="B18">
        <v>100</v>
      </c>
      <c r="D18" s="1" t="s">
        <v>109</v>
      </c>
    </row>
    <row r="19" spans="1:4" x14ac:dyDescent="0.3">
      <c r="A19" t="s">
        <v>779</v>
      </c>
      <c r="C19">
        <v>4</v>
      </c>
      <c r="D19" s="1" t="s">
        <v>399</v>
      </c>
    </row>
    <row r="20" spans="1:4" x14ac:dyDescent="0.3">
      <c r="A20" s="1" t="s">
        <v>780</v>
      </c>
      <c r="B20">
        <v>100</v>
      </c>
      <c r="D20" s="1" t="s">
        <v>114</v>
      </c>
    </row>
    <row r="21" spans="1:4" x14ac:dyDescent="0.3">
      <c r="A21" t="s">
        <v>781</v>
      </c>
      <c r="C21">
        <v>4</v>
      </c>
      <c r="D21" s="1" t="s">
        <v>407</v>
      </c>
    </row>
    <row r="22" spans="1:4" x14ac:dyDescent="0.3">
      <c r="A22" t="s">
        <v>782</v>
      </c>
      <c r="C22">
        <v>4</v>
      </c>
      <c r="D22" s="1" t="s">
        <v>410</v>
      </c>
    </row>
    <row r="23" spans="1:4" x14ac:dyDescent="0.3">
      <c r="A23" s="1" t="s">
        <v>783</v>
      </c>
      <c r="B23">
        <v>100</v>
      </c>
      <c r="D23" s="1" t="s">
        <v>119</v>
      </c>
    </row>
    <row r="24" spans="1:4" x14ac:dyDescent="0.3">
      <c r="A24" t="s">
        <v>768</v>
      </c>
      <c r="C24">
        <v>3</v>
      </c>
      <c r="D24" s="1" t="s">
        <v>420</v>
      </c>
    </row>
    <row r="25" spans="1:4" x14ac:dyDescent="0.3">
      <c r="A25" s="1" t="s">
        <v>784</v>
      </c>
      <c r="B25">
        <v>100</v>
      </c>
      <c r="D25" s="1" t="s">
        <v>123</v>
      </c>
    </row>
    <row r="26" spans="1:4" x14ac:dyDescent="0.3">
      <c r="A26" t="s">
        <v>768</v>
      </c>
      <c r="C26">
        <v>4</v>
      </c>
      <c r="D26" s="1" t="s">
        <v>428</v>
      </c>
    </row>
    <row r="27" spans="1:4" x14ac:dyDescent="0.3">
      <c r="A27" s="1" t="s">
        <v>785</v>
      </c>
      <c r="B27">
        <v>100</v>
      </c>
      <c r="D27" s="1" t="s">
        <v>127</v>
      </c>
    </row>
    <row r="28" spans="1:4" x14ac:dyDescent="0.3">
      <c r="A28" t="s">
        <v>768</v>
      </c>
      <c r="C28">
        <v>4</v>
      </c>
      <c r="D28" s="1" t="s">
        <v>436</v>
      </c>
    </row>
    <row r="29" spans="1:4" x14ac:dyDescent="0.3">
      <c r="A29" s="1" t="s">
        <v>786</v>
      </c>
      <c r="B29">
        <v>100</v>
      </c>
      <c r="D29" s="1" t="s">
        <v>132</v>
      </c>
    </row>
    <row r="30" spans="1:4" x14ac:dyDescent="0.3">
      <c r="A30" t="s">
        <v>768</v>
      </c>
      <c r="C30">
        <v>2</v>
      </c>
      <c r="D30" s="1" t="s">
        <v>442</v>
      </c>
    </row>
    <row r="31" spans="1:4" x14ac:dyDescent="0.3">
      <c r="A31" s="1" t="s">
        <v>787</v>
      </c>
      <c r="B31">
        <v>100</v>
      </c>
      <c r="D31" s="1" t="s">
        <v>137</v>
      </c>
    </row>
    <row r="32" spans="1:4" x14ac:dyDescent="0.3">
      <c r="A32" t="s">
        <v>768</v>
      </c>
      <c r="C32">
        <v>2</v>
      </c>
      <c r="D32" s="1" t="s">
        <v>449</v>
      </c>
    </row>
    <row r="33" spans="1:4" x14ac:dyDescent="0.3">
      <c r="A33" s="1" t="s">
        <v>788</v>
      </c>
      <c r="B33">
        <v>100</v>
      </c>
      <c r="D33" s="1" t="s">
        <v>142</v>
      </c>
    </row>
    <row r="34" spans="1:4" x14ac:dyDescent="0.3">
      <c r="A34" t="s">
        <v>779</v>
      </c>
      <c r="C34">
        <v>3</v>
      </c>
      <c r="D34" s="1" t="s">
        <v>457</v>
      </c>
    </row>
    <row r="35" spans="1:4" x14ac:dyDescent="0.3">
      <c r="A35" s="1" t="s">
        <v>789</v>
      </c>
      <c r="B35">
        <v>100</v>
      </c>
      <c r="D35" s="1" t="s">
        <v>146</v>
      </c>
    </row>
    <row r="36" spans="1:4" x14ac:dyDescent="0.3">
      <c r="A36" t="s">
        <v>779</v>
      </c>
      <c r="C36">
        <v>3</v>
      </c>
      <c r="D36" s="1" t="s">
        <v>464</v>
      </c>
    </row>
    <row r="37" spans="1:4" x14ac:dyDescent="0.3">
      <c r="A37" s="1" t="s">
        <v>790</v>
      </c>
      <c r="B37">
        <v>100</v>
      </c>
      <c r="D37" s="1" t="s">
        <v>150</v>
      </c>
    </row>
    <row r="38" spans="1:4" x14ac:dyDescent="0.3">
      <c r="A38" t="s">
        <v>779</v>
      </c>
      <c r="C38">
        <v>3</v>
      </c>
      <c r="D38" s="1" t="s">
        <v>470</v>
      </c>
    </row>
    <row r="39" spans="1:4" x14ac:dyDescent="0.3">
      <c r="A39" s="1" t="s">
        <v>791</v>
      </c>
      <c r="B39">
        <v>100</v>
      </c>
      <c r="D39" s="1" t="s">
        <v>154</v>
      </c>
    </row>
    <row r="40" spans="1:4" x14ac:dyDescent="0.3">
      <c r="A40" t="s">
        <v>779</v>
      </c>
      <c r="C40">
        <v>4</v>
      </c>
      <c r="D40" s="1" t="s">
        <v>476</v>
      </c>
    </row>
    <row r="41" spans="1:4" x14ac:dyDescent="0.3">
      <c r="A41" s="1" t="s">
        <v>792</v>
      </c>
      <c r="B41">
        <v>100</v>
      </c>
      <c r="D41" s="1" t="s">
        <v>158</v>
      </c>
    </row>
    <row r="42" spans="1:4" x14ac:dyDescent="0.3">
      <c r="A42" t="s">
        <v>781</v>
      </c>
      <c r="C42">
        <v>4</v>
      </c>
      <c r="D42" s="1" t="s">
        <v>482</v>
      </c>
    </row>
    <row r="43" spans="1:4" x14ac:dyDescent="0.3">
      <c r="A43" t="s">
        <v>782</v>
      </c>
      <c r="C43">
        <v>4</v>
      </c>
      <c r="D43" s="1" t="s">
        <v>483</v>
      </c>
    </row>
    <row r="44" spans="1:4" x14ac:dyDescent="0.3">
      <c r="A44" s="1" t="s">
        <v>793</v>
      </c>
      <c r="B44">
        <v>100</v>
      </c>
      <c r="D44" s="1" t="s">
        <v>163</v>
      </c>
    </row>
    <row r="45" spans="1:4" x14ac:dyDescent="0.3">
      <c r="A45" t="s">
        <v>768</v>
      </c>
      <c r="C45">
        <v>4</v>
      </c>
      <c r="D45" s="1" t="s">
        <v>489</v>
      </c>
    </row>
    <row r="46" spans="1:4" x14ac:dyDescent="0.3">
      <c r="A46" s="1" t="s">
        <v>794</v>
      </c>
      <c r="B46">
        <v>100</v>
      </c>
      <c r="D46" s="1" t="s">
        <v>166</v>
      </c>
    </row>
    <row r="47" spans="1:4" x14ac:dyDescent="0.3">
      <c r="A47" t="s">
        <v>768</v>
      </c>
      <c r="C47">
        <v>4</v>
      </c>
      <c r="D47" s="1" t="s">
        <v>496</v>
      </c>
    </row>
    <row r="48" spans="1:4" x14ac:dyDescent="0.3">
      <c r="A48" s="1" t="s">
        <v>795</v>
      </c>
      <c r="B48">
        <v>100</v>
      </c>
      <c r="D48" s="1" t="s">
        <v>171</v>
      </c>
    </row>
    <row r="49" spans="1:4" x14ac:dyDescent="0.3">
      <c r="A49" t="s">
        <v>779</v>
      </c>
      <c r="C49">
        <v>3</v>
      </c>
      <c r="D49" s="1" t="s">
        <v>503</v>
      </c>
    </row>
    <row r="50" spans="1:4" x14ac:dyDescent="0.3">
      <c r="A50" s="1" t="s">
        <v>796</v>
      </c>
      <c r="B50">
        <v>100</v>
      </c>
      <c r="D50" s="1" t="s">
        <v>179</v>
      </c>
    </row>
    <row r="51" spans="1:4" x14ac:dyDescent="0.3">
      <c r="A51" t="s">
        <v>779</v>
      </c>
      <c r="C51">
        <v>3</v>
      </c>
      <c r="D51" s="1" t="s">
        <v>510</v>
      </c>
    </row>
    <row r="52" spans="1:4" x14ac:dyDescent="0.3">
      <c r="A52" s="1" t="s">
        <v>797</v>
      </c>
      <c r="B52">
        <v>100</v>
      </c>
      <c r="D52" s="1" t="s">
        <v>184</v>
      </c>
    </row>
    <row r="53" spans="1:4" x14ac:dyDescent="0.3">
      <c r="A53" t="s">
        <v>779</v>
      </c>
      <c r="C53">
        <v>3</v>
      </c>
      <c r="D53" s="1" t="s">
        <v>516</v>
      </c>
    </row>
    <row r="54" spans="1:4" x14ac:dyDescent="0.3">
      <c r="A54" s="1" t="s">
        <v>798</v>
      </c>
      <c r="B54">
        <v>100</v>
      </c>
      <c r="D54" s="1" t="s">
        <v>189</v>
      </c>
    </row>
    <row r="55" spans="1:4" x14ac:dyDescent="0.3">
      <c r="A55" t="s">
        <v>779</v>
      </c>
      <c r="C55">
        <v>3</v>
      </c>
      <c r="D55" s="1" t="s">
        <v>524</v>
      </c>
    </row>
    <row r="56" spans="1:4" x14ac:dyDescent="0.3">
      <c r="A56" s="1" t="s">
        <v>799</v>
      </c>
      <c r="B56">
        <v>100</v>
      </c>
      <c r="D56" s="1" t="s">
        <v>194</v>
      </c>
    </row>
    <row r="57" spans="1:4" x14ac:dyDescent="0.3">
      <c r="A57" t="s">
        <v>779</v>
      </c>
      <c r="C57">
        <v>3</v>
      </c>
      <c r="D57" s="1" t="s">
        <v>532</v>
      </c>
    </row>
    <row r="58" spans="1:4" x14ac:dyDescent="0.3">
      <c r="A58" s="1" t="s">
        <v>800</v>
      </c>
      <c r="B58">
        <v>100</v>
      </c>
      <c r="D58" s="1" t="s">
        <v>204</v>
      </c>
    </row>
    <row r="59" spans="1:4" x14ac:dyDescent="0.3">
      <c r="A59" t="s">
        <v>782</v>
      </c>
      <c r="C59">
        <v>4</v>
      </c>
      <c r="D59" s="1" t="s">
        <v>540</v>
      </c>
    </row>
    <row r="60" spans="1:4" x14ac:dyDescent="0.3">
      <c r="A60" s="1" t="s">
        <v>801</v>
      </c>
      <c r="B60">
        <v>100</v>
      </c>
      <c r="D60" s="1" t="s">
        <v>217</v>
      </c>
    </row>
    <row r="61" spans="1:4" x14ac:dyDescent="0.3">
      <c r="A61" t="s">
        <v>768</v>
      </c>
      <c r="C61">
        <v>4</v>
      </c>
      <c r="D61" s="1" t="s">
        <v>547</v>
      </c>
    </row>
    <row r="62" spans="1:4" x14ac:dyDescent="0.3">
      <c r="A62" s="1" t="s">
        <v>802</v>
      </c>
      <c r="B62">
        <v>100</v>
      </c>
      <c r="D62" s="1" t="s">
        <v>223</v>
      </c>
    </row>
    <row r="63" spans="1:4" x14ac:dyDescent="0.3">
      <c r="A63" t="s">
        <v>768</v>
      </c>
      <c r="C63">
        <v>2</v>
      </c>
      <c r="D63" s="1" t="s">
        <v>573</v>
      </c>
    </row>
    <row r="64" spans="1:4" x14ac:dyDescent="0.3">
      <c r="A64" s="1" t="s">
        <v>803</v>
      </c>
      <c r="B64">
        <v>100</v>
      </c>
      <c r="D64" s="1" t="s">
        <v>319</v>
      </c>
    </row>
    <row r="65" spans="1:4" x14ac:dyDescent="0.3">
      <c r="A65" t="s">
        <v>782</v>
      </c>
      <c r="C65">
        <v>3</v>
      </c>
      <c r="D65" s="1" t="s">
        <v>580</v>
      </c>
    </row>
    <row r="66" spans="1:4" x14ac:dyDescent="0.3">
      <c r="A66" s="1" t="s">
        <v>804</v>
      </c>
      <c r="B66">
        <v>100</v>
      </c>
      <c r="D66" s="1" t="s">
        <v>324</v>
      </c>
    </row>
    <row r="67" spans="1:4" x14ac:dyDescent="0.3">
      <c r="A67" t="s">
        <v>781</v>
      </c>
      <c r="C67">
        <v>1</v>
      </c>
      <c r="D67" s="1" t="s">
        <v>587</v>
      </c>
    </row>
    <row r="68" spans="1:4" x14ac:dyDescent="0.3">
      <c r="A68" t="s">
        <v>782</v>
      </c>
      <c r="C68">
        <v>1</v>
      </c>
      <c r="D68" s="1" t="s">
        <v>588</v>
      </c>
    </row>
    <row r="69" spans="1:4" x14ac:dyDescent="0.3">
      <c r="A69" s="1" t="s">
        <v>805</v>
      </c>
      <c r="B69">
        <v>100</v>
      </c>
      <c r="D69" s="1" t="s">
        <v>344</v>
      </c>
    </row>
    <row r="70" spans="1:4" x14ac:dyDescent="0.3">
      <c r="A70" t="s">
        <v>781</v>
      </c>
      <c r="C70">
        <v>1</v>
      </c>
      <c r="D70" s="1" t="s">
        <v>595</v>
      </c>
    </row>
    <row r="71" spans="1:4" x14ac:dyDescent="0.3">
      <c r="A71" s="1" t="s">
        <v>806</v>
      </c>
      <c r="B71">
        <v>100</v>
      </c>
      <c r="D71" s="1" t="s">
        <v>350</v>
      </c>
    </row>
    <row r="72" spans="1:4" x14ac:dyDescent="0.3">
      <c r="A72" t="s">
        <v>807</v>
      </c>
      <c r="C72">
        <v>0</v>
      </c>
      <c r="D72" s="1" t="s">
        <v>607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D312A-EAA9-4427-A485-2804C4D54070}">
  <dimension ref="A1:M43"/>
  <sheetViews>
    <sheetView workbookViewId="0"/>
  </sheetViews>
  <sheetFormatPr defaultRowHeight="16.5" x14ac:dyDescent="0.3"/>
  <sheetData>
    <row r="1" spans="1:7" x14ac:dyDescent="0.3">
      <c r="A1" t="s">
        <v>974</v>
      </c>
    </row>
    <row r="2" spans="1:7" x14ac:dyDescent="0.3">
      <c r="A2" s="1" t="s">
        <v>975</v>
      </c>
      <c r="B2" t="s">
        <v>976</v>
      </c>
      <c r="C2" s="1" t="s">
        <v>977</v>
      </c>
    </row>
    <row r="3" spans="1:7" x14ac:dyDescent="0.3">
      <c r="A3" s="1" t="s">
        <v>978</v>
      </c>
      <c r="B3" t="s">
        <v>979</v>
      </c>
    </row>
    <row r="4" spans="1:7" x14ac:dyDescent="0.3">
      <c r="A4" s="1" t="s">
        <v>980</v>
      </c>
      <c r="B4">
        <v>5</v>
      </c>
    </row>
    <row r="5" spans="1:7" x14ac:dyDescent="0.3">
      <c r="A5" s="1" t="s">
        <v>981</v>
      </c>
      <c r="B5">
        <v>5</v>
      </c>
    </row>
    <row r="6" spans="1:7" x14ac:dyDescent="0.3">
      <c r="A6" s="1" t="s">
        <v>982</v>
      </c>
      <c r="B6" t="s">
        <v>983</v>
      </c>
    </row>
    <row r="7" spans="1:7" x14ac:dyDescent="0.3">
      <c r="A7" s="1" t="s">
        <v>984</v>
      </c>
      <c r="B7" t="s">
        <v>985</v>
      </c>
      <c r="C7">
        <v>1</v>
      </c>
    </row>
    <row r="8" spans="1:7" x14ac:dyDescent="0.3">
      <c r="A8" s="1" t="s">
        <v>986</v>
      </c>
      <c r="B8" t="s">
        <v>985</v>
      </c>
      <c r="C8">
        <v>2</v>
      </c>
    </row>
    <row r="9" spans="1:7" x14ac:dyDescent="0.3">
      <c r="A9" s="1" t="s">
        <v>987</v>
      </c>
      <c r="B9" t="s">
        <v>618</v>
      </c>
      <c r="C9" t="s">
        <v>620</v>
      </c>
      <c r="D9" t="s">
        <v>621</v>
      </c>
      <c r="E9" t="s">
        <v>622</v>
      </c>
      <c r="F9" t="s">
        <v>623</v>
      </c>
      <c r="G9" t="s">
        <v>988</v>
      </c>
    </row>
    <row r="10" spans="1:7" x14ac:dyDescent="0.3">
      <c r="A10" s="1" t="s">
        <v>989</v>
      </c>
      <c r="B10">
        <v>1153.3</v>
      </c>
      <c r="C10">
        <v>0</v>
      </c>
      <c r="D10">
        <v>0</v>
      </c>
    </row>
    <row r="11" spans="1:7" x14ac:dyDescent="0.3">
      <c r="A11" s="1" t="s">
        <v>990</v>
      </c>
      <c r="B11" t="s">
        <v>991</v>
      </c>
      <c r="C11">
        <v>4</v>
      </c>
    </row>
    <row r="12" spans="1:7" x14ac:dyDescent="0.3">
      <c r="A12" s="1" t="s">
        <v>992</v>
      </c>
      <c r="B12" t="s">
        <v>991</v>
      </c>
      <c r="C12">
        <v>4</v>
      </c>
    </row>
    <row r="13" spans="1:7" x14ac:dyDescent="0.3">
      <c r="A13" s="1" t="s">
        <v>993</v>
      </c>
      <c r="B13" t="s">
        <v>991</v>
      </c>
      <c r="C13">
        <v>3</v>
      </c>
    </row>
    <row r="14" spans="1:7" x14ac:dyDescent="0.3">
      <c r="A14" s="1" t="s">
        <v>994</v>
      </c>
      <c r="B14" t="s">
        <v>985</v>
      </c>
      <c r="C14">
        <v>5</v>
      </c>
    </row>
    <row r="15" spans="1:7" x14ac:dyDescent="0.3">
      <c r="A15" s="1" t="s">
        <v>995</v>
      </c>
      <c r="B15" t="s">
        <v>600</v>
      </c>
      <c r="C15" t="s">
        <v>996</v>
      </c>
      <c r="D15" t="s">
        <v>996</v>
      </c>
      <c r="E15" t="s">
        <v>996</v>
      </c>
      <c r="F15">
        <v>1</v>
      </c>
    </row>
    <row r="16" spans="1:7" x14ac:dyDescent="0.3">
      <c r="A16" s="1" t="s">
        <v>997</v>
      </c>
      <c r="B16">
        <v>0</v>
      </c>
      <c r="C16">
        <v>0</v>
      </c>
    </row>
    <row r="17" spans="1:13" x14ac:dyDescent="0.3">
      <c r="A17" s="1" t="s">
        <v>998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999</v>
      </c>
      <c r="B18">
        <v>0</v>
      </c>
      <c r="C18">
        <v>0</v>
      </c>
    </row>
    <row r="19" spans="1:13" x14ac:dyDescent="0.3">
      <c r="A19" s="1" t="s">
        <v>1000</v>
      </c>
    </row>
    <row r="20" spans="1:13" x14ac:dyDescent="0.3">
      <c r="A20" s="1" t="s">
        <v>1001</v>
      </c>
      <c r="B20" s="1" t="s">
        <v>51</v>
      </c>
      <c r="C20">
        <v>1</v>
      </c>
    </row>
    <row r="21" spans="1:13" x14ac:dyDescent="0.3">
      <c r="A21" t="s">
        <v>1003</v>
      </c>
      <c r="B21" t="s">
        <v>1004</v>
      </c>
      <c r="C21" t="s">
        <v>1005</v>
      </c>
    </row>
    <row r="22" spans="1:13" x14ac:dyDescent="0.3">
      <c r="A22">
        <v>1</v>
      </c>
      <c r="B22" s="1" t="s">
        <v>1006</v>
      </c>
      <c r="C22" s="1" t="s">
        <v>917</v>
      </c>
    </row>
    <row r="23" spans="1:13" x14ac:dyDescent="0.3">
      <c r="A23">
        <v>2</v>
      </c>
      <c r="B23" s="1" t="s">
        <v>1007</v>
      </c>
      <c r="C23" s="1" t="s">
        <v>1008</v>
      </c>
    </row>
    <row r="24" spans="1:13" x14ac:dyDescent="0.3">
      <c r="A24">
        <v>3</v>
      </c>
      <c r="B24" s="1" t="s">
        <v>967</v>
      </c>
      <c r="C24" s="1" t="s">
        <v>966</v>
      </c>
    </row>
    <row r="25" spans="1:13" x14ac:dyDescent="0.3">
      <c r="A25">
        <v>4</v>
      </c>
      <c r="B25" s="1" t="s">
        <v>1009</v>
      </c>
      <c r="C25" s="1" t="s">
        <v>1010</v>
      </c>
    </row>
    <row r="26" spans="1:13" x14ac:dyDescent="0.3">
      <c r="A26">
        <v>5</v>
      </c>
      <c r="B26" s="1" t="s">
        <v>1011</v>
      </c>
      <c r="C26" s="1" t="s">
        <v>51</v>
      </c>
    </row>
    <row r="27" spans="1:13" x14ac:dyDescent="0.3">
      <c r="A27">
        <v>6</v>
      </c>
      <c r="B27" s="1" t="s">
        <v>971</v>
      </c>
      <c r="C27" s="1" t="s">
        <v>970</v>
      </c>
    </row>
    <row r="28" spans="1:13" x14ac:dyDescent="0.3">
      <c r="A28">
        <v>7</v>
      </c>
      <c r="B28" s="1" t="s">
        <v>1012</v>
      </c>
      <c r="C28" s="1" t="s">
        <v>51</v>
      </c>
    </row>
    <row r="29" spans="1:13" x14ac:dyDescent="0.3">
      <c r="A29">
        <v>8</v>
      </c>
      <c r="B29" s="1" t="s">
        <v>1012</v>
      </c>
      <c r="C29" s="1" t="s">
        <v>51</v>
      </c>
    </row>
    <row r="30" spans="1:13" x14ac:dyDescent="0.3">
      <c r="A30">
        <v>9</v>
      </c>
      <c r="B30" s="1" t="s">
        <v>1012</v>
      </c>
      <c r="C30" s="1" t="s">
        <v>51</v>
      </c>
    </row>
    <row r="31" spans="1:13" x14ac:dyDescent="0.3">
      <c r="A31" t="s">
        <v>600</v>
      </c>
      <c r="B31" s="1" t="s">
        <v>1013</v>
      </c>
      <c r="C31" s="1" t="s">
        <v>51</v>
      </c>
    </row>
    <row r="32" spans="1:13" x14ac:dyDescent="0.3">
      <c r="A32" t="s">
        <v>753</v>
      </c>
      <c r="B32" s="1" t="s">
        <v>1014</v>
      </c>
      <c r="C32" s="1" t="s">
        <v>51</v>
      </c>
    </row>
    <row r="33" spans="1:3" x14ac:dyDescent="0.3">
      <c r="A33" t="s">
        <v>985</v>
      </c>
      <c r="B33" s="1" t="s">
        <v>1013</v>
      </c>
      <c r="C33" s="1" t="s">
        <v>51</v>
      </c>
    </row>
    <row r="34" spans="1:3" x14ac:dyDescent="0.3">
      <c r="A34" t="s">
        <v>976</v>
      </c>
      <c r="B34" s="1" t="s">
        <v>1013</v>
      </c>
      <c r="C34" s="1" t="s">
        <v>51</v>
      </c>
    </row>
    <row r="35" spans="1:3" x14ac:dyDescent="0.3">
      <c r="A35" t="s">
        <v>1015</v>
      </c>
      <c r="B35" s="1" t="s">
        <v>1013</v>
      </c>
      <c r="C35" s="1" t="s">
        <v>51</v>
      </c>
    </row>
    <row r="36" spans="1:3" x14ac:dyDescent="0.3">
      <c r="A36" t="s">
        <v>62</v>
      </c>
      <c r="B36" s="1" t="s">
        <v>1013</v>
      </c>
      <c r="C36" s="1" t="s">
        <v>51</v>
      </c>
    </row>
    <row r="37" spans="1:3" x14ac:dyDescent="0.3">
      <c r="A37" t="s">
        <v>1016</v>
      </c>
      <c r="B37" s="1" t="s">
        <v>1013</v>
      </c>
      <c r="C37" s="1" t="s">
        <v>51</v>
      </c>
    </row>
    <row r="38" spans="1:3" x14ac:dyDescent="0.3">
      <c r="A38" t="s">
        <v>1017</v>
      </c>
      <c r="B38" s="1" t="s">
        <v>1013</v>
      </c>
      <c r="C38" s="1" t="s">
        <v>51</v>
      </c>
    </row>
    <row r="39" spans="1:3" x14ac:dyDescent="0.3">
      <c r="A39" t="s">
        <v>1018</v>
      </c>
      <c r="B39" s="1" t="s">
        <v>1013</v>
      </c>
      <c r="C39" s="1" t="s">
        <v>51</v>
      </c>
    </row>
    <row r="40" spans="1:3" x14ac:dyDescent="0.3">
      <c r="A40" t="s">
        <v>1019</v>
      </c>
      <c r="B40" s="1" t="s">
        <v>1013</v>
      </c>
      <c r="C40" s="1" t="s">
        <v>51</v>
      </c>
    </row>
    <row r="43" spans="1:3" x14ac:dyDescent="0.3">
      <c r="A43" t="s">
        <v>1002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443E4-2303-4F78-A200-77D29F6B6E15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13</vt:i4>
      </vt:variant>
    </vt:vector>
  </HeadingPairs>
  <TitlesOfParts>
    <vt:vector size="23" baseType="lpstr">
      <vt:lpstr>원가계산서</vt:lpstr>
      <vt:lpstr>공종별집계표</vt:lpstr>
      <vt:lpstr>공종별내역서</vt:lpstr>
      <vt:lpstr>일위대가목록</vt:lpstr>
      <vt:lpstr>일위대가</vt:lpstr>
      <vt:lpstr>공량산출근거서</vt:lpstr>
      <vt:lpstr>단가대비표</vt:lpstr>
      <vt:lpstr>공량설정_일위대가</vt:lpstr>
      <vt:lpstr> 공사설정 </vt:lpstr>
      <vt:lpstr>Sheet1</vt:lpstr>
      <vt:lpstr>공량산출근거서!Print_Area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공량산출근거서!Print_Titles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세종기술단3</dc:creator>
  <cp:lastModifiedBy>kiapi kiapi</cp:lastModifiedBy>
  <dcterms:created xsi:type="dcterms:W3CDTF">2026-01-08T06:03:21Z</dcterms:created>
  <dcterms:modified xsi:type="dcterms:W3CDTF">2026-02-07T01:48:07Z</dcterms:modified>
</cp:coreProperties>
</file>